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540" windowWidth="11340" windowHeight="8415" tabRatio="835"/>
  </bookViews>
  <sheets>
    <sheet name="RESUMO" sheetId="72" r:id="rId1"/>
    <sheet name="RESUMO-P1-UTMB ASA SUL" sheetId="17" r:id="rId2"/>
    <sheet name="RESUMO-P1-EQUIPE DE APOIO" sheetId="69" r:id="rId3"/>
    <sheet name="MDO-P1-OP USINA UTMB ASA SUL" sheetId="62" r:id="rId4"/>
    <sheet name="MDO-P1&quot;-EQUIPE APO-UTMB ASA SUL" sheetId="70" r:id="rId5"/>
    <sheet name="Lote 01 - P1-UTMB ASA SUL " sheetId="47" r:id="rId6"/>
    <sheet name="CAMINHÕES-MAQUINAS-VEÍCULOS" sheetId="71" r:id="rId7"/>
    <sheet name="Enc.Sociais" sheetId="75" r:id="rId8"/>
    <sheet name="Descritivo - Encargos Sociais" sheetId="74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Table1_In1" localSheetId="4" hidden="1">'[1]MEC '!#REF!</definedName>
    <definedName name="_Table1_In1" localSheetId="2" hidden="1">'[1]MEC '!#REF!</definedName>
    <definedName name="_Table1_In1" hidden="1">'[1]MEC '!#REF!</definedName>
    <definedName name="a" localSheetId="4">'[1]MEC '!#REF!</definedName>
    <definedName name="a" localSheetId="2">'[1]MEC '!#REF!</definedName>
    <definedName name="a">'[1]MEC '!#REF!</definedName>
    <definedName name="ajud">[2]Fev03!$C$12</definedName>
    <definedName name="Ajudante_de_Manutenção_diu_not" localSheetId="5">#REF!</definedName>
    <definedName name="Ajudante_de_Manutenção_diu_not">#REF!</definedName>
    <definedName name="Ajudante_de_Pintor_diu" localSheetId="5">#REF!</definedName>
    <definedName name="Ajudante_de_Pintor_diu">#REF!</definedName>
    <definedName name="Ajudante_Geral_diu_not" localSheetId="5">#REF!</definedName>
    <definedName name="Ajudante_Geral_diu_not">#REF!</definedName>
    <definedName name="alfanje">[2]Fev03!$E$56</definedName>
    <definedName name="_xlnm.Extract" localSheetId="4">'[3]09-Limp  Monum'!#REF!</definedName>
    <definedName name="_xlnm.Extract" localSheetId="2">'[3]09-Limp  Monum'!#REF!</definedName>
    <definedName name="_xlnm.Extract">'[3]09-Limp  Monum'!#REF!</definedName>
    <definedName name="_xlnm.Print_Area" localSheetId="6">'CAMINHÕES-MAQUINAS-VEÍCULOS'!$A$1:$H$17</definedName>
    <definedName name="_xlnm.Print_Area" localSheetId="8">'Descritivo - Encargos Sociais'!$A$1:$V$112</definedName>
    <definedName name="_xlnm.Print_Area" localSheetId="7">Enc.Sociais!$A$1:$J$55</definedName>
    <definedName name="_xlnm.Print_Area" localSheetId="5">'Lote 01 - P1-UTMB ASA SUL '!$A$1:$H$314</definedName>
    <definedName name="_xlnm.Print_Area" localSheetId="4">'MDO-P1"-EQUIPE APO-UTMB ASA SUL'!$A$1:$J$362</definedName>
    <definedName name="_xlnm.Print_Area" localSheetId="3">'MDO-P1-OP USINA UTMB ASA SUL'!$A$1:$J$463</definedName>
    <definedName name="_xlnm.Print_Area" localSheetId="0">RESUMO!$A$1:$F$34</definedName>
    <definedName name="_xlnm.Print_Area" localSheetId="2">'RESUMO-P1-EQUIPE DE APOIO'!$A$1:$E$37</definedName>
    <definedName name="_xlnm.Print_Area" localSheetId="1">'RESUMO-P1-UTMB ASA SUL'!$A$1:$E$82</definedName>
    <definedName name="arm">#REF!</definedName>
    <definedName name="Auxiliar_de_Almoxarifado_diu_not" localSheetId="5">#REF!</definedName>
    <definedName name="Auxiliar_de_Almoxarifado_diu_not">#REF!</definedName>
    <definedName name="Auxiliar_de_Escritório_diu" localSheetId="5">#REF!</definedName>
    <definedName name="Auxiliar_de_Escritório_diu">#REF!</definedName>
    <definedName name="bamba">[2]Fev03!$E$17</definedName>
    <definedName name="Banco" localSheetId="5">#REF!</definedName>
    <definedName name="Banco">#REF!</definedName>
    <definedName name="Banco_dados_IM" localSheetId="5">#REF!</definedName>
    <definedName name="Banco_dados_IM">#REF!</definedName>
    <definedName name="_xlnm.Database" localSheetId="5">#REF!</definedName>
    <definedName name="_xlnm.Database">#REF!</definedName>
    <definedName name="basc15m3">[2]Fev03!$E$34</definedName>
    <definedName name="basc6m3">[2]Fev03!$E$33</definedName>
    <definedName name="BOCA_DE_LOBO" localSheetId="4">'[3]09-Limp  Monum'!#REF!</definedName>
    <definedName name="BOCA_DE_LOBO" localSheetId="2">'[3]09-Limp  Monum'!#REF!</definedName>
    <definedName name="BOCA_DE_LOBO">'[3]09-Limp  Monum'!#REF!</definedName>
    <definedName name="boné">[2]Fev03!$E$19</definedName>
    <definedName name="bota">#REF!</definedName>
    <definedName name="brocha">[2]Fev03!$E$49</definedName>
    <definedName name="c_arm">#REF!</definedName>
    <definedName name="c_basc12m3">#REF!</definedName>
    <definedName name="c_basc6m3">#REF!</definedName>
    <definedName name="c_carp">#REF!</definedName>
    <definedName name="c_carrmad4t">#REF!</definedName>
    <definedName name="c_cavmec">#REF!</definedName>
    <definedName name="c_compacCM20">#REF!</definedName>
    <definedName name="c_elet">#REF!</definedName>
    <definedName name="c_encanador">#REF!</definedName>
    <definedName name="c_escav315c">#REF!</definedName>
    <definedName name="c_escavpoc320c">#REF!</definedName>
    <definedName name="c_gerador100kw">#REF!</definedName>
    <definedName name="c_gerador60kw">#REF!</definedName>
    <definedName name="c_geradorsolda">#REF!</definedName>
    <definedName name="c_Irrig11000l">#REF!</definedName>
    <definedName name="c_Irrig6000l">#REF!</definedName>
    <definedName name="c_motcam">#REF!</definedName>
    <definedName name="c_motcarr">#REF!</definedName>
    <definedName name="c_Motonive120H">#REF!</definedName>
    <definedName name="c_Motonive140H">#REF!</definedName>
    <definedName name="c_oper">#REF!</definedName>
    <definedName name="c_oper2">#REF!</definedName>
    <definedName name="c_Pácarreg924G">#REF!</definedName>
    <definedName name="c_Pácarreg938G">#REF!</definedName>
    <definedName name="c_Pécarneiro">#REF!</definedName>
    <definedName name="c_ped">#REF!</definedName>
    <definedName name="c_retrocase580H">#REF!</definedName>
    <definedName name="c_roçadeira">#REF!</definedName>
    <definedName name="c_serv">#REF!</definedName>
    <definedName name="c_serv_n">#REF!</definedName>
    <definedName name="c_sold">#REF!</definedName>
    <definedName name="c_Trator_D5">#REF!</definedName>
    <definedName name="c_TratorD6M140HP">#REF!</definedName>
    <definedName name="c_TratorD6R">#REF!</definedName>
    <definedName name="c_TratorD8R">#REF!</definedName>
    <definedName name="c_TratorD8R_s">#REF!</definedName>
    <definedName name="c_vigil_d">#REF!</definedName>
    <definedName name="c_vigil_n">#REF!</definedName>
    <definedName name="cal">[2]Fev03!$E$50</definedName>
    <definedName name="calça">[2]Fev03!$E$15</definedName>
    <definedName name="Caldeireiro_diu_not" localSheetId="5">#REF!</definedName>
    <definedName name="Caldeireiro_diu_not">#REF!</definedName>
    <definedName name="câm1000">[2]Fev03!$E$54</definedName>
    <definedName name="câm900">[2]Fev03!$E$50</definedName>
    <definedName name="camisa">[2]Fev03!$E$16</definedName>
    <definedName name="campickup">[2]Fev03!$E$69</definedName>
    <definedName name="capa">[2]Fev03!$E$23</definedName>
    <definedName name="capacete">#REF!</definedName>
    <definedName name="carmadeira">[2]Fev03!$E$33</definedName>
    <definedName name="carp">#REF!</definedName>
    <definedName name="cc">#REF!</definedName>
    <definedName name="cesto">[2]Fev03!$E$37</definedName>
    <definedName name="chassi12t">[2]Fev03!$E$29</definedName>
    <definedName name="chassi14t">[2]Fev03!$E$30</definedName>
    <definedName name="chassi22t">[2]Fev03!$E$30</definedName>
    <definedName name="col">[2]Fev03!$C$10</definedName>
    <definedName name="colete">[2]Fev03!$E$22</definedName>
    <definedName name="COMPLEMENTARES" localSheetId="4">'[3]09-Limp  Monum'!#REF!</definedName>
    <definedName name="COMPLEMENTARES" localSheetId="2">'[3]09-Limp  Monum'!#REF!</definedName>
    <definedName name="COMPLEMENTARES">'[3]09-Limp  Monum'!#REF!</definedName>
    <definedName name="conjesp">[2]Fev03!$E$34</definedName>
    <definedName name="couro">[2]Fev03!$E$18</definedName>
    <definedName name="cp01ok" localSheetId="5">#REF!</definedName>
    <definedName name="cp01ok">#REF!</definedName>
    <definedName name="cp02ok" localSheetId="5">#REF!</definedName>
    <definedName name="cp02ok">#REF!</definedName>
    <definedName name="cp03ok" localSheetId="5">#REF!</definedName>
    <definedName name="cp03ok">#REF!</definedName>
    <definedName name="cp04ok" localSheetId="5">#REF!</definedName>
    <definedName name="cp04ok">#REF!</definedName>
    <definedName name="cp05aok" localSheetId="5">#REF!</definedName>
    <definedName name="cp05aok">#REF!</definedName>
    <definedName name="cp05bok" localSheetId="5">#REF!</definedName>
    <definedName name="cp05bok">#REF!</definedName>
    <definedName name="cp05cok" localSheetId="5">#REF!</definedName>
    <definedName name="cp05cok">#REF!</definedName>
    <definedName name="cp06ok" localSheetId="5">#REF!</definedName>
    <definedName name="cp06ok">#REF!</definedName>
    <definedName name="cp07ok" localSheetId="5">#REF!</definedName>
    <definedName name="cp07ok">#REF!</definedName>
    <definedName name="cp08ok" localSheetId="5">#REF!</definedName>
    <definedName name="cp08ok">#REF!</definedName>
    <definedName name="cp09ok" localSheetId="5">#REF!</definedName>
    <definedName name="cp09ok">#REF!</definedName>
    <definedName name="cp10ok" localSheetId="5">#REF!</definedName>
    <definedName name="cp10ok">#REF!</definedName>
    <definedName name="cp11ok" localSheetId="5">#REF!</definedName>
    <definedName name="cp11ok">#REF!</definedName>
    <definedName name="cp12ok" localSheetId="5">#REF!</definedName>
    <definedName name="cp12ok">#REF!</definedName>
    <definedName name="cp13ok" localSheetId="5">#REF!</definedName>
    <definedName name="cp13ok">#REF!</definedName>
    <definedName name="cp14ok" localSheetId="5">#REF!</definedName>
    <definedName name="cp14ok">#REF!</definedName>
    <definedName name="cp15ok" localSheetId="5">#REF!</definedName>
    <definedName name="cp15ok">#REF!</definedName>
    <definedName name="cp16ok" localSheetId="5">#REF!</definedName>
    <definedName name="cp16ok">#REF!</definedName>
    <definedName name="cp17ok" localSheetId="5">#REF!</definedName>
    <definedName name="cp17ok">#REF!</definedName>
    <definedName name="cp18ok" localSheetId="5">#REF!</definedName>
    <definedName name="cp18ok">#REF!</definedName>
    <definedName name="cp19ok" localSheetId="5">#REF!</definedName>
    <definedName name="cp19ok">#REF!</definedName>
    <definedName name="cp20ok" localSheetId="5">#REF!</definedName>
    <definedName name="cp20ok">#REF!</definedName>
    <definedName name="cp21aok" localSheetId="5">#REF!</definedName>
    <definedName name="cp21aok">#REF!</definedName>
    <definedName name="cp21bok" localSheetId="5">#REF!</definedName>
    <definedName name="cp21bok">#REF!</definedName>
    <definedName name="cp21cok" localSheetId="5">#REF!</definedName>
    <definedName name="cp21cok">#REF!</definedName>
    <definedName name="cp21dok" localSheetId="5">#REF!</definedName>
    <definedName name="cp21dok">#REF!</definedName>
    <definedName name="cp21eok" localSheetId="5">#REF!</definedName>
    <definedName name="cp21eok">#REF!</definedName>
    <definedName name="cp21fok" localSheetId="5">#REF!</definedName>
    <definedName name="cp21fok">#REF!</definedName>
    <definedName name="_xlnm.Criteria" localSheetId="4">'[3]09-Limp  Monum'!#REF!</definedName>
    <definedName name="_xlnm.Criteria" localSheetId="2">'[3]09-Limp  Monum'!#REF!</definedName>
    <definedName name="_xlnm.Criteria">'[3]09-Limp  Monum'!#REF!</definedName>
    <definedName name="Critérios_IM" localSheetId="4">'[3]09-Limp  Monum'!#REF!</definedName>
    <definedName name="Critérios_IM" localSheetId="2">'[3]09-Limp  Monum'!#REF!</definedName>
    <definedName name="Critérios_IM">'[3]09-Limp  Monum'!#REF!</definedName>
    <definedName name="DIA" localSheetId="5">#REF!</definedName>
    <definedName name="DIA">#REF!</definedName>
    <definedName name="diesel">[2]Fev03!$E$24</definedName>
    <definedName name="div_c_cam" localSheetId="4">'[3]07-Lav Feiras'!#REF!</definedName>
    <definedName name="div_c_cam" localSheetId="2">'[3]07-Lav Feiras'!#REF!</definedName>
    <definedName name="div_c_cam">'[3]07-Lav Feiras'!#REF!</definedName>
    <definedName name="div_s_cam" localSheetId="5">#REF!</definedName>
    <definedName name="div_s_cam">#REF!</definedName>
    <definedName name="Dom" localSheetId="5">#REF!</definedName>
    <definedName name="Dom">#REF!</definedName>
    <definedName name="elet">#REF!</definedName>
    <definedName name="Eletricista_Industrial_diu_not" localSheetId="5">#REF!</definedName>
    <definedName name="Eletricista_Industrial_diu_not">#REF!</definedName>
    <definedName name="enc">#REF!</definedName>
    <definedName name="encanador">#REF!</definedName>
    <definedName name="Encanador_diu" localSheetId="5">#REF!</definedName>
    <definedName name="Encanador_diu">#REF!</definedName>
    <definedName name="Encarregado_de_Manutenção_diu_not" localSheetId="5">#REF!</definedName>
    <definedName name="Encarregado_de_Manutenção_diu_not">#REF!</definedName>
    <definedName name="EncSoc" localSheetId="5">#REF!</definedName>
    <definedName name="EncSoc" localSheetId="4">#REF!</definedName>
    <definedName name="EncSoc" localSheetId="2">#REF!</definedName>
    <definedName name="EncSoc">#REF!</definedName>
    <definedName name="Enlonador_diu_not" localSheetId="5">#REF!</definedName>
    <definedName name="Enlonador_diu_not">#REF!</definedName>
    <definedName name="Entulho_Div_ate_10km" localSheetId="5">#REF!</definedName>
    <definedName name="Entulho_Div_ate_10km">#REF!</definedName>
    <definedName name="entulho_mec_ac_10km" localSheetId="4">'[4]Acima 10km'!#REF!</definedName>
    <definedName name="entulho_mec_ac_10km" localSheetId="2">'[4]Acima 10km'!#REF!</definedName>
    <definedName name="entulho_mec_ac_10km">'[4]Acima 10km'!#REF!</definedName>
    <definedName name="entulho_mec_ate_10km" localSheetId="5">#REF!</definedName>
    <definedName name="entulho_mec_ate_10km" localSheetId="4">#REF!</definedName>
    <definedName name="entulho_mec_ate_10km" localSheetId="2">#REF!</definedName>
    <definedName name="entulho_mec_ate_10km">#REF!</definedName>
    <definedName name="enxada">[2]Fev03!$E$42</definedName>
    <definedName name="enxadão">[2]Fev03!$E$43</definedName>
    <definedName name="Equ" localSheetId="5">#REF!</definedName>
    <definedName name="Equ">#REF!</definedName>
    <definedName name="Extrair_IM" localSheetId="4">'[3]09-Limp  Monum'!#REF!</definedName>
    <definedName name="Extrair_IM" localSheetId="2">'[3]09-Limp  Monum'!#REF!</definedName>
    <definedName name="Extrair_IM">'[3]09-Limp  Monum'!#REF!</definedName>
    <definedName name="FAVELAS" localSheetId="4">'[3]09-Limp  Monum'!#REF!</definedName>
    <definedName name="FAVELAS" localSheetId="2">'[3]09-Limp  Monum'!#REF!</definedName>
    <definedName name="FAVELAS">'[3]09-Limp  Monum'!#REF!</definedName>
    <definedName name="fixacal">[2]Fev03!$E$51</definedName>
    <definedName name="foice">[2]Fev03!$E$58</definedName>
    <definedName name="garfo">[2]Fev03!$E$55</definedName>
    <definedName name="gaso">[2]Fev03!$E$25</definedName>
    <definedName name="grandes_objetos" localSheetId="4">'[3]08-Col. R. Vol'!#REF!</definedName>
    <definedName name="grandes_objetos" localSheetId="2">'[3]08-Col. R. Vol'!#REF!</definedName>
    <definedName name="grandes_objetos">'[3]08-Col. R. Vol'!#REF!</definedName>
    <definedName name="graxa">[2]Fev03!$E$28</definedName>
    <definedName name="herbicida">[2]Fev03!$E$59</definedName>
    <definedName name="Hos" localSheetId="5">#REF!</definedName>
    <definedName name="Hos">#REF!</definedName>
    <definedName name="HTML_CodePage" hidden="1">1252</definedName>
    <definedName name="HTML_Control" localSheetId="5" hidden="1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Inc" localSheetId="5">#REF!</definedName>
    <definedName name="Inc">#REF!</definedName>
    <definedName name="ins">#REF!</definedName>
    <definedName name="japona">#REF!</definedName>
    <definedName name="Jardineiro_diu" localSheetId="5">#REF!</definedName>
    <definedName name="Jardineiro_diu">#REF!</definedName>
    <definedName name="lavagem_calçadão" localSheetId="5">#REF!</definedName>
    <definedName name="lavagem_calçadão">#REF!</definedName>
    <definedName name="lavagem_escadaria" localSheetId="5">#REF!</definedName>
    <definedName name="lavagem_escadaria">#REF!</definedName>
    <definedName name="lavagem_monumentos" localSheetId="5">#REF!</definedName>
    <definedName name="lavagem_monumentos">#REF!</definedName>
    <definedName name="Lavf" localSheetId="5">#REF!</definedName>
    <definedName name="Lavf">#REF!</definedName>
    <definedName name="Lavv" localSheetId="5">#REF!</definedName>
    <definedName name="Lavv">#REF!</definedName>
    <definedName name="luva">#REF!</definedName>
    <definedName name="luvaalgodão">[2]Fev03!$E$20</definedName>
    <definedName name="luvaraspa">[2]Fev03!$E$21</definedName>
    <definedName name="Mec" localSheetId="5">#REF!</definedName>
    <definedName name="Mec">#REF!</definedName>
    <definedName name="Mecânico_IndustriaL_diu_not" localSheetId="5">#REF!</definedName>
    <definedName name="Mecânico_IndustriaL_diu_not">#REF!</definedName>
    <definedName name="Meio_Oficial_Eletricista_diu_not" localSheetId="5">#REF!</definedName>
    <definedName name="Meio_Oficial_Eletricista_diu_not">#REF!</definedName>
    <definedName name="Meio_Oficial_Mecânico_diu_not" localSheetId="5">#REF!</definedName>
    <definedName name="Meio_Oficial_Mecânico_diu_not">#REF!</definedName>
    <definedName name="mês">[2]Fev03!$B$8</definedName>
    <definedName name="mínimo">[2]Fev03!$C$9</definedName>
    <definedName name="mot">[2]Fev03!$C$13</definedName>
    <definedName name="motcam">#REF!</definedName>
    <definedName name="motcarr">#REF!</definedName>
    <definedName name="Motorista_de_Veículo_diu_not" localSheetId="5">#REF!</definedName>
    <definedName name="Motorista_de_Veículo_diu_not">#REF!</definedName>
    <definedName name="n_Caminhão_Basculante_12_M3">#REF!</definedName>
    <definedName name="n_Caminhão_Basculante_14_A_16_M3">#REF!</definedName>
    <definedName name="n_Caminhão_Basculante_6_M3">#REF!</definedName>
    <definedName name="n_Caminhão_Carroceira_de_Madeira_4_t">#REF!</definedName>
    <definedName name="n_Caminhão_Irrigadeira_11.000_L">#REF!</definedName>
    <definedName name="n_Caminhão_Irrigadeira_6.000_L">#REF!</definedName>
    <definedName name="n_Cavalo_Mecânico_com_Carreta_Tanque_28000_30000_L">#REF!</definedName>
    <definedName name="n_Compactador_Pé_de_Carneiro_CAT_816F">#REF!</definedName>
    <definedName name="n_Escavadeira_Hidráulica_de_Esteira_Poclain___CAT_320_caç_1_1m3">#REF!</definedName>
    <definedName name="n_Escavadeira_Hidráulica_poclain">#REF!</definedName>
    <definedName name="n_Gerador_de_Emergência_100_kw">#REF!</definedName>
    <definedName name="n_Gerador_de_Emergência_60_kw">#REF!</definedName>
    <definedName name="n_Gerador_de_solda_c_motor_diesel___375A">#REF!</definedName>
    <definedName name="n_Motoniveladora_120G">#REF!</definedName>
    <definedName name="n_Motoniveladora_140G">#REF!</definedName>
    <definedName name="n_Onibus">#REF!</definedName>
    <definedName name="n_Pá_Carregadeira_s__Pneus_924_G">#REF!</definedName>
    <definedName name="n_Pá_Carregadeira_s__Pneus_938_G">#REF!</definedName>
    <definedName name="n_Retroescavadeira_CASE_580_H">#REF!</definedName>
    <definedName name="n_Roçadeira">#REF!</definedName>
    <definedName name="n_Trator_de_Esteiras_D4">#REF!</definedName>
    <definedName name="n_Trator_de_Esteiras_D6_M_140HP">#REF!</definedName>
    <definedName name="n_Trator_de_Esteiras_D6_R_165HP">#REF!</definedName>
    <definedName name="n_Trator_de_Esteiras_D8_c_ripper">#REF!</definedName>
    <definedName name="N_Trator_de_Esteiras_D8_R_s_ripper">#REF!</definedName>
    <definedName name="oléomotor">[2]Fev03!$E$26</definedName>
    <definedName name="oléotransm">[2]Fev03!$E$27</definedName>
    <definedName name="oper">#REF!</definedName>
    <definedName name="oper2">#REF!</definedName>
    <definedName name="Operador_de_Empilhadeira_diu_not" localSheetId="5">#REF!</definedName>
    <definedName name="Operador_de_Empilhadeira_diu_not">#REF!</definedName>
    <definedName name="Operador_de_Pá_Carregadeira_diu_not" localSheetId="5">#REF!</definedName>
    <definedName name="Operador_de_Pá_Carregadeira_diu_not">#REF!</definedName>
    <definedName name="Operador_de_Painel_diu_not" localSheetId="5">#REF!</definedName>
    <definedName name="Operador_de_Painel_diu_not">#REF!</definedName>
    <definedName name="p_onibus">#REF!</definedName>
    <definedName name="pá">[2]Fev03!$E$41</definedName>
    <definedName name="pácarreg">[2]Fev03!$E$59</definedName>
    <definedName name="pass">[2]Fev03!$E$14</definedName>
    <definedName name="ped">#REF!</definedName>
    <definedName name="Pedreiro_diu" localSheetId="5">#REF!</definedName>
    <definedName name="Pedreiro_diu">#REF!</definedName>
    <definedName name="pickup">[2]Fev03!$E$32</definedName>
    <definedName name="Pintor_diu" localSheetId="5">#REF!</definedName>
    <definedName name="Pintor_diu">#REF!</definedName>
    <definedName name="PIPA" localSheetId="4">'[1]MEC '!#REF!</definedName>
    <definedName name="PIPA" localSheetId="2">'[1]MEC '!#REF!</definedName>
    <definedName name="PIPA">'[1]MEC '!#REF!</definedName>
    <definedName name="Plan" localSheetId="5">#REF!</definedName>
    <definedName name="Plan">#REF!</definedName>
    <definedName name="Plan1" localSheetId="5">#REF!</definedName>
    <definedName name="Plan1">#REF!</definedName>
    <definedName name="Planilha" localSheetId="5">#REF!</definedName>
    <definedName name="Planilha">#REF!</definedName>
    <definedName name="Planilha_2a_Alternat" localSheetId="5">#REF!</definedName>
    <definedName name="Planilha_2a_Alternat">#REF!</definedName>
    <definedName name="pneu1000">[2]Fev03!$E$53</definedName>
    <definedName name="pneu900">[2]Fev03!$E$49</definedName>
    <definedName name="pneupickup">[2]Fev03!$E$68</definedName>
    <definedName name="pneuveic">[2]Fev03!$E$71</definedName>
    <definedName name="prot">#REF!</definedName>
    <definedName name="prot1000">[2]Fev03!$E$56</definedName>
    <definedName name="prot900">[2]Fev03!$E$52</definedName>
    <definedName name="pulver">[2]Fev03!$E$48</definedName>
    <definedName name="quepe">#REF!</definedName>
    <definedName name="R__h">#REF!</definedName>
    <definedName name="rastelo">[2]Fev03!$E$57</definedName>
    <definedName name="recap1000">[2]Fev03!$E$55</definedName>
    <definedName name="recap900">[2]Fev03!$E$51</definedName>
    <definedName name="recappickup">[2]Fev03!$E$70</definedName>
    <definedName name="RESUMO" localSheetId="4">'[1]MEC '!#REF!</definedName>
    <definedName name="RESUMO" localSheetId="2">'[1]MEC '!#REF!</definedName>
    <definedName name="RESUMO">'[1]MEC '!#REF!</definedName>
    <definedName name="roçad">[2]Fev03!$E$47</definedName>
    <definedName name="segobrig">[2]Fev03!$E$58</definedName>
    <definedName name="serv">#REF!</definedName>
    <definedName name="Servente_de_Limpeza_da_Usina_diu_not" localSheetId="5">#REF!</definedName>
    <definedName name="Servente_de_Limpeza_da_Usina_diu_not">#REF!</definedName>
    <definedName name="Servente_de_Obra_diu_not" localSheetId="5">#REF!</definedName>
    <definedName name="Servente_de_Obra_diu_not">#REF!</definedName>
    <definedName name="sm">#REF!</definedName>
    <definedName name="so">#REF!</definedName>
    <definedName name="sold">#REF!</definedName>
    <definedName name="Soldador_diu_not" localSheetId="5">#REF!</definedName>
    <definedName name="Soldador_diu_not">#REF!</definedName>
    <definedName name="tanque">[2]Fev03!$E$45</definedName>
    <definedName name="_xlnm.Print_Titles" localSheetId="5">'Lote 01 - P1-UTMB ASA SUL '!$4:$12</definedName>
    <definedName name="_xlnm.Print_Titles" localSheetId="4">'MDO-P1"-EQUIPE APO-UTMB ASA SUL'!$5:$12</definedName>
    <definedName name="_xlnm.Print_Titles" localSheetId="3">'MDO-P1-OP USINA UTMB ASA SUL'!$4:$9</definedName>
    <definedName name="_xlnm.Print_Titles" localSheetId="2">'RESUMO-P1-EQUIPE DE APOIO'!$4:$6</definedName>
    <definedName name="_xlnm.Print_Titles" localSheetId="1">'RESUMO-P1-UTMB ASA SUL'!$4:$6</definedName>
    <definedName name="Torneiro_diu" localSheetId="5">#REF!</definedName>
    <definedName name="Torneiro_diu">#REF!</definedName>
    <definedName name="TRANS10A20" localSheetId="4">'[1]MEC '!#REF!</definedName>
    <definedName name="TRANS10A20" localSheetId="2">'[1]MEC '!#REF!</definedName>
    <definedName name="TRANS10A20">'[1]MEC '!#REF!</definedName>
    <definedName name="Unif" localSheetId="5">#REF!</definedName>
    <definedName name="Unif">#REF!</definedName>
    <definedName name="Var" localSheetId="5">#REF!</definedName>
    <definedName name="Var">#REF!</definedName>
    <definedName name="varr">[2]Fev03!$C$11</definedName>
    <definedName name="varricao_feiras" localSheetId="4">'[3]04-Varr Feiras'!#REF!</definedName>
    <definedName name="varricao_feiras" localSheetId="2">'[3]04-Varr Feiras'!#REF!</definedName>
    <definedName name="varricao_feiras">'[3]04-Varr Feiras'!#REF!</definedName>
    <definedName name="varricao_mec">'[5]3.2-V Mec'!$D$59</definedName>
    <definedName name="vc">#REF!</definedName>
    <definedName name="vcajud">[2]Fev03!$E$12</definedName>
    <definedName name="vcmot">[2]Fev03!$E$13</definedName>
    <definedName name="veic">[2]Fev03!$E$46</definedName>
    <definedName name="vigil">#REF!</definedName>
    <definedName name="Vigilante_diu_not" localSheetId="5">#REF!</definedName>
    <definedName name="Vigilante_diu_not">#REF!</definedName>
    <definedName name="vr">#REF!</definedName>
    <definedName name="vrajud">[2]Fev03!$D$12</definedName>
    <definedName name="vrmot">[2]Fev03!$D$13</definedName>
    <definedName name="vt">#REF!</definedName>
  </definedNames>
  <calcPr calcId="145621"/>
</workbook>
</file>

<file path=xl/calcChain.xml><?xml version="1.0" encoding="utf-8"?>
<calcChain xmlns="http://schemas.openxmlformats.org/spreadsheetml/2006/main">
  <c r="G37" i="47" l="1"/>
  <c r="F38" i="47"/>
  <c r="G38" i="47" s="1"/>
  <c r="F37" i="47"/>
  <c r="F31" i="47"/>
  <c r="G31" i="47" s="1"/>
  <c r="F30" i="47"/>
  <c r="G30" i="47" s="1"/>
  <c r="G32" i="47" s="1"/>
  <c r="G297" i="47" s="1"/>
  <c r="F2" i="72"/>
  <c r="C164" i="47"/>
  <c r="C84" i="47"/>
  <c r="D239" i="47"/>
  <c r="D216" i="47"/>
  <c r="C214" i="47"/>
  <c r="D172" i="47"/>
  <c r="D104" i="47"/>
  <c r="D185" i="47"/>
  <c r="D176" i="47"/>
  <c r="D175" i="47"/>
  <c r="D179" i="47" s="1"/>
  <c r="E179" i="47" s="1"/>
  <c r="D174" i="47"/>
  <c r="D178" i="47" s="1"/>
  <c r="E178" i="47" s="1"/>
  <c r="D173" i="47"/>
  <c r="D177" i="47" s="1"/>
  <c r="E177" i="47" s="1"/>
  <c r="C158" i="47"/>
  <c r="D94" i="47"/>
  <c r="D98" i="47" s="1"/>
  <c r="E98" i="47" s="1"/>
  <c r="D93" i="47"/>
  <c r="D97" i="47" s="1"/>
  <c r="E97" i="47" s="1"/>
  <c r="D92" i="47"/>
  <c r="D96" i="47" s="1"/>
  <c r="E96" i="47" s="1"/>
  <c r="D91" i="47"/>
  <c r="D95" i="47" s="1"/>
  <c r="E95" i="47" s="1"/>
  <c r="C74" i="47"/>
  <c r="C161" i="47"/>
  <c r="C160" i="47"/>
  <c r="C159" i="47"/>
  <c r="C157" i="47"/>
  <c r="C80" i="47"/>
  <c r="C79" i="47"/>
  <c r="C78" i="47"/>
  <c r="C77" i="47"/>
  <c r="C76" i="47"/>
  <c r="C75" i="47"/>
  <c r="E23" i="62"/>
  <c r="E42" i="70"/>
  <c r="E123" i="70"/>
  <c r="E134" i="70" s="1"/>
  <c r="E47" i="70"/>
  <c r="E58" i="70" s="1"/>
  <c r="E31" i="70"/>
  <c r="I16" i="70"/>
  <c r="I26" i="70" s="1"/>
  <c r="I13" i="62"/>
  <c r="E28" i="62"/>
  <c r="E39" i="62" s="1"/>
  <c r="E44" i="62"/>
  <c r="E55" i="62" s="1"/>
  <c r="E60" i="62"/>
  <c r="E71" i="62" s="1"/>
  <c r="E76" i="62"/>
  <c r="E87" i="62" s="1"/>
  <c r="I76" i="62"/>
  <c r="I87" i="62" s="1"/>
  <c r="E92" i="62"/>
  <c r="E103" i="62" s="1"/>
  <c r="I92" i="62"/>
  <c r="I103" i="62" s="1"/>
  <c r="E108" i="62"/>
  <c r="E119" i="62" s="1"/>
  <c r="E140" i="62"/>
  <c r="E151" i="62" s="1"/>
  <c r="I23" i="62"/>
  <c r="F454" i="62"/>
  <c r="F166" i="62"/>
  <c r="F165" i="62"/>
  <c r="G352" i="70"/>
  <c r="E16" i="70"/>
  <c r="E26" i="70" s="1"/>
  <c r="I19" i="70"/>
  <c r="D279" i="47"/>
  <c r="E275" i="47"/>
  <c r="I141" i="62"/>
  <c r="E25" i="70"/>
  <c r="I25" i="70" s="1"/>
  <c r="E132" i="70"/>
  <c r="E56" i="70"/>
  <c r="I40" i="70"/>
  <c r="E40" i="70"/>
  <c r="I24" i="70"/>
  <c r="E24" i="70"/>
  <c r="E149" i="62"/>
  <c r="I149" i="62"/>
  <c r="E133" i="62"/>
  <c r="I133" i="62"/>
  <c r="I117" i="62"/>
  <c r="E117" i="62"/>
  <c r="E101" i="62"/>
  <c r="I101" i="62"/>
  <c r="I85" i="62"/>
  <c r="E85" i="62"/>
  <c r="E69" i="62"/>
  <c r="I69" i="62"/>
  <c r="I53" i="62"/>
  <c r="E53" i="62"/>
  <c r="E37" i="62"/>
  <c r="I37" i="62"/>
  <c r="I21" i="62"/>
  <c r="E21" i="62"/>
  <c r="E22" i="62"/>
  <c r="I8" i="62"/>
  <c r="D12" i="72"/>
  <c r="D73" i="17"/>
  <c r="D68" i="17"/>
  <c r="E11" i="69"/>
  <c r="E27" i="17"/>
  <c r="I48" i="75"/>
  <c r="I35" i="75"/>
  <c r="I30" i="75"/>
  <c r="I20" i="75"/>
  <c r="I34" i="75"/>
  <c r="I38" i="75"/>
  <c r="H7" i="75"/>
  <c r="T6" i="74"/>
  <c r="T89" i="74"/>
  <c r="T84" i="74"/>
  <c r="T79" i="74"/>
  <c r="T72" i="74"/>
  <c r="T66" i="74"/>
  <c r="T96" i="74"/>
  <c r="T62" i="74"/>
  <c r="T56" i="74"/>
  <c r="F50" i="74"/>
  <c r="F55" i="74"/>
  <c r="T51" i="74" s="1"/>
  <c r="O48" i="74"/>
  <c r="I46" i="74"/>
  <c r="F46" i="74"/>
  <c r="T39" i="74"/>
  <c r="O35" i="74"/>
  <c r="L33" i="74"/>
  <c r="T32" i="74"/>
  <c r="F33" i="74"/>
  <c r="T24" i="74"/>
  <c r="T21" i="74"/>
  <c r="T27" i="74" s="1"/>
  <c r="R28" i="74" s="1"/>
  <c r="T15" i="74"/>
  <c r="T18" i="74"/>
  <c r="M48" i="74"/>
  <c r="D21" i="72"/>
  <c r="D20" i="72"/>
  <c r="C20" i="72"/>
  <c r="B21" i="72"/>
  <c r="B20" i="72"/>
  <c r="C21" i="72"/>
  <c r="D292" i="47"/>
  <c r="G355" i="70"/>
  <c r="D281" i="47"/>
  <c r="G190" i="70" s="1"/>
  <c r="D280" i="47"/>
  <c r="G173" i="70"/>
  <c r="D278" i="47"/>
  <c r="G156" i="70" s="1"/>
  <c r="E239" i="47"/>
  <c r="C242" i="47"/>
  <c r="D243" i="47"/>
  <c r="F244" i="47"/>
  <c r="G244" i="47" s="1"/>
  <c r="G246" i="47" s="1"/>
  <c r="G304" i="47" s="1"/>
  <c r="E57" i="17" s="1"/>
  <c r="E223" i="47"/>
  <c r="F217" i="47"/>
  <c r="G217" i="47" s="1"/>
  <c r="D211" i="47"/>
  <c r="E224" i="47" s="1"/>
  <c r="E176" i="47"/>
  <c r="E175" i="47"/>
  <c r="E174" i="47"/>
  <c r="E173" i="47"/>
  <c r="E172" i="47"/>
  <c r="C167" i="47"/>
  <c r="D167" i="47" s="1"/>
  <c r="G178" i="47" s="1"/>
  <c r="F158" i="47"/>
  <c r="F159" i="47"/>
  <c r="F160" i="47"/>
  <c r="F161" i="47"/>
  <c r="F157" i="47"/>
  <c r="C151" i="47"/>
  <c r="C150" i="47"/>
  <c r="D150" i="47"/>
  <c r="F150" i="47" s="1"/>
  <c r="G151" i="47" s="1"/>
  <c r="E154" i="47" s="1"/>
  <c r="G154" i="47" s="1"/>
  <c r="C129" i="47"/>
  <c r="D189" i="47"/>
  <c r="E189" i="47" s="1"/>
  <c r="G189" i="47" s="1"/>
  <c r="E92" i="47"/>
  <c r="E93" i="47"/>
  <c r="E94" i="47"/>
  <c r="E91" i="47"/>
  <c r="C86" i="47"/>
  <c r="D86" i="47"/>
  <c r="E67" i="47" s="1"/>
  <c r="F75" i="47"/>
  <c r="F76" i="47"/>
  <c r="F77" i="47"/>
  <c r="F78" i="47"/>
  <c r="F79" i="47"/>
  <c r="F80" i="47"/>
  <c r="F74" i="47"/>
  <c r="D67" i="47"/>
  <c r="C47" i="47"/>
  <c r="D62" i="47" s="1"/>
  <c r="F63" i="47" s="1"/>
  <c r="G63" i="47" s="1"/>
  <c r="C46" i="47"/>
  <c r="G10" i="47"/>
  <c r="G353" i="70"/>
  <c r="G351" i="70"/>
  <c r="G350" i="70"/>
  <c r="G349" i="70"/>
  <c r="G346" i="70"/>
  <c r="G188" i="70"/>
  <c r="G187" i="70"/>
  <c r="G186" i="70"/>
  <c r="G185" i="70"/>
  <c r="G184" i="70"/>
  <c r="G181" i="70"/>
  <c r="G171" i="70"/>
  <c r="G170" i="70"/>
  <c r="G169" i="70"/>
  <c r="G168" i="70"/>
  <c r="G167" i="70"/>
  <c r="G164" i="70"/>
  <c r="G153" i="70"/>
  <c r="G152" i="70"/>
  <c r="G151" i="70"/>
  <c r="G150" i="70"/>
  <c r="G147" i="70"/>
  <c r="E124" i="70"/>
  <c r="E49" i="70"/>
  <c r="I32" i="70"/>
  <c r="I31" i="70"/>
  <c r="I42" i="70" s="1"/>
  <c r="E33" i="70"/>
  <c r="E36" i="70" s="1"/>
  <c r="E32" i="70"/>
  <c r="I22" i="70"/>
  <c r="E22" i="70"/>
  <c r="E17" i="70"/>
  <c r="E48" i="70"/>
  <c r="I11" i="70"/>
  <c r="H454" i="62"/>
  <c r="H455" i="62" s="1"/>
  <c r="G457" i="62" s="1"/>
  <c r="G447" i="62"/>
  <c r="G446" i="62"/>
  <c r="G445" i="62"/>
  <c r="G444" i="62"/>
  <c r="G443" i="62"/>
  <c r="G440" i="62"/>
  <c r="G429" i="62"/>
  <c r="G428" i="62"/>
  <c r="G424" i="62"/>
  <c r="G423" i="62"/>
  <c r="G413" i="62"/>
  <c r="G412" i="62"/>
  <c r="G411" i="62"/>
  <c r="G407" i="62"/>
  <c r="G406" i="62"/>
  <c r="G395" i="62"/>
  <c r="G391" i="62"/>
  <c r="G390" i="62"/>
  <c r="G380" i="62"/>
  <c r="G378" i="62"/>
  <c r="G374" i="62"/>
  <c r="G373" i="62"/>
  <c r="G363" i="62"/>
  <c r="G362" i="62"/>
  <c r="G358" i="62"/>
  <c r="G357" i="62"/>
  <c r="G347" i="62"/>
  <c r="G346" i="62"/>
  <c r="G345" i="62"/>
  <c r="G341" i="62"/>
  <c r="G340" i="62"/>
  <c r="G330" i="62"/>
  <c r="G329" i="62"/>
  <c r="G325" i="62"/>
  <c r="G324" i="62"/>
  <c r="G314" i="62"/>
  <c r="G313" i="62"/>
  <c r="G312" i="62"/>
  <c r="G308" i="62"/>
  <c r="G307" i="62"/>
  <c r="G298" i="62"/>
  <c r="G297" i="62"/>
  <c r="G296" i="62"/>
  <c r="G295" i="62"/>
  <c r="G292" i="62"/>
  <c r="G282" i="62"/>
  <c r="G281" i="62"/>
  <c r="G280" i="62"/>
  <c r="G279" i="62"/>
  <c r="G278" i="62"/>
  <c r="G275" i="62"/>
  <c r="G265" i="62"/>
  <c r="G264" i="62"/>
  <c r="G263" i="62"/>
  <c r="G262" i="62"/>
  <c r="G259" i="62"/>
  <c r="G249" i="62"/>
  <c r="G248" i="62"/>
  <c r="G247" i="62"/>
  <c r="G246" i="62"/>
  <c r="G245" i="62"/>
  <c r="G242" i="62"/>
  <c r="G231" i="62"/>
  <c r="G226" i="62"/>
  <c r="G225" i="62"/>
  <c r="G215" i="62"/>
  <c r="G214" i="62"/>
  <c r="G209" i="62"/>
  <c r="G208" i="62"/>
  <c r="G198" i="62"/>
  <c r="G197" i="62"/>
  <c r="G196" i="62"/>
  <c r="G195" i="62"/>
  <c r="G192" i="62"/>
  <c r="G182" i="62"/>
  <c r="G181" i="62"/>
  <c r="G180" i="62"/>
  <c r="G179" i="62"/>
  <c r="G178" i="62"/>
  <c r="G175" i="62"/>
  <c r="H166" i="62"/>
  <c r="H165" i="62"/>
  <c r="H167" i="62" s="1"/>
  <c r="E141" i="62"/>
  <c r="E77" i="62"/>
  <c r="I77" i="62"/>
  <c r="I45" i="62"/>
  <c r="E45" i="62"/>
  <c r="I29" i="62"/>
  <c r="E29" i="62"/>
  <c r="E33" i="62" s="1"/>
  <c r="I28" i="62"/>
  <c r="I39" i="62" s="1"/>
  <c r="E30" i="62"/>
  <c r="I15" i="62"/>
  <c r="I14" i="62"/>
  <c r="E38" i="62"/>
  <c r="E19" i="62"/>
  <c r="I35" i="62" s="1"/>
  <c r="E16" i="62"/>
  <c r="E15" i="62"/>
  <c r="E14" i="62"/>
  <c r="E61" i="62" s="1"/>
  <c r="I61" i="62" s="1"/>
  <c r="D282" i="47"/>
  <c r="D283" i="47"/>
  <c r="D284" i="47"/>
  <c r="D285" i="47"/>
  <c r="D286" i="47"/>
  <c r="D287" i="47"/>
  <c r="D288" i="47"/>
  <c r="D289" i="47"/>
  <c r="D290" i="47"/>
  <c r="D291" i="47"/>
  <c r="L16" i="70"/>
  <c r="M16" i="70"/>
  <c r="P16" i="70"/>
  <c r="L31" i="70"/>
  <c r="M39" i="70"/>
  <c r="I47" i="70"/>
  <c r="L47" i="70"/>
  <c r="E348" i="70"/>
  <c r="G348" i="70" s="1"/>
  <c r="E347" i="70"/>
  <c r="G347" i="70"/>
  <c r="E345" i="70"/>
  <c r="G345" i="70"/>
  <c r="E344" i="70"/>
  <c r="G344" i="70"/>
  <c r="E343" i="70"/>
  <c r="G343" i="70"/>
  <c r="G354" i="70" s="1"/>
  <c r="E336" i="70"/>
  <c r="G336" i="70"/>
  <c r="G335" i="70"/>
  <c r="G334" i="70"/>
  <c r="E333" i="70"/>
  <c r="G333" i="70"/>
  <c r="E332" i="70"/>
  <c r="G332" i="70"/>
  <c r="E331" i="70"/>
  <c r="G331" i="70"/>
  <c r="G330" i="70"/>
  <c r="G329" i="70"/>
  <c r="E328" i="70"/>
  <c r="G328" i="70"/>
  <c r="E327" i="70"/>
  <c r="G327" i="70"/>
  <c r="E320" i="70"/>
  <c r="G320" i="70"/>
  <c r="G319" i="70"/>
  <c r="G318" i="70"/>
  <c r="G317" i="70"/>
  <c r="E316" i="70"/>
  <c r="G316" i="70" s="1"/>
  <c r="E315" i="70"/>
  <c r="G315" i="70" s="1"/>
  <c r="E314" i="70"/>
  <c r="G314" i="70" s="1"/>
  <c r="G313" i="70"/>
  <c r="G312" i="70"/>
  <c r="E311" i="70"/>
  <c r="G311" i="70" s="1"/>
  <c r="E310" i="70"/>
  <c r="G310" i="70" s="1"/>
  <c r="G321" i="70" s="1"/>
  <c r="G323" i="70" s="1"/>
  <c r="E27" i="69" s="1"/>
  <c r="E303" i="70"/>
  <c r="G303" i="70" s="1"/>
  <c r="E302" i="70"/>
  <c r="G302" i="70" s="1"/>
  <c r="G301" i="70"/>
  <c r="E300" i="70"/>
  <c r="G300" i="70"/>
  <c r="E299" i="70"/>
  <c r="G299" i="70"/>
  <c r="E298" i="70"/>
  <c r="G298" i="70"/>
  <c r="G297" i="70"/>
  <c r="G296" i="70"/>
  <c r="E295" i="70"/>
  <c r="G295" i="70"/>
  <c r="E294" i="70"/>
  <c r="G294" i="70"/>
  <c r="E287" i="70"/>
  <c r="G287" i="70"/>
  <c r="G286" i="70"/>
  <c r="E285" i="70"/>
  <c r="G285" i="70" s="1"/>
  <c r="G284" i="70"/>
  <c r="E283" i="70"/>
  <c r="G283" i="70"/>
  <c r="E282" i="70"/>
  <c r="G282" i="70"/>
  <c r="E281" i="70"/>
  <c r="G281" i="70"/>
  <c r="G280" i="70"/>
  <c r="G279" i="70"/>
  <c r="E278" i="70"/>
  <c r="G278" i="70"/>
  <c r="E277" i="70"/>
  <c r="G277" i="70"/>
  <c r="E270" i="70"/>
  <c r="G270" i="70"/>
  <c r="G269" i="70"/>
  <c r="G268" i="70"/>
  <c r="E267" i="70"/>
  <c r="G267" i="70"/>
  <c r="E266" i="70"/>
  <c r="G266" i="70"/>
  <c r="E265" i="70"/>
  <c r="G265" i="70"/>
  <c r="G264" i="70"/>
  <c r="G263" i="70"/>
  <c r="E262" i="70"/>
  <c r="G262" i="70"/>
  <c r="E261" i="70"/>
  <c r="G261" i="70"/>
  <c r="E254" i="70"/>
  <c r="G254" i="70"/>
  <c r="G253" i="70"/>
  <c r="G252" i="70"/>
  <c r="G251" i="70"/>
  <c r="E250" i="70"/>
  <c r="G250" i="70" s="1"/>
  <c r="E249" i="70"/>
  <c r="G249" i="70" s="1"/>
  <c r="E248" i="70"/>
  <c r="G248" i="70" s="1"/>
  <c r="G247" i="70"/>
  <c r="G246" i="70"/>
  <c r="E245" i="70"/>
  <c r="G245" i="70" s="1"/>
  <c r="E244" i="70"/>
  <c r="G244" i="70" s="1"/>
  <c r="E237" i="70"/>
  <c r="G237" i="70" s="1"/>
  <c r="G236" i="70"/>
  <c r="G235" i="70"/>
  <c r="E234" i="70"/>
  <c r="G234" i="70" s="1"/>
  <c r="E233" i="70"/>
  <c r="G233" i="70" s="1"/>
  <c r="E232" i="70"/>
  <c r="G232" i="70" s="1"/>
  <c r="G231" i="70"/>
  <c r="G230" i="70"/>
  <c r="E229" i="70"/>
  <c r="G229" i="70" s="1"/>
  <c r="E228" i="70"/>
  <c r="G228" i="70" s="1"/>
  <c r="E221" i="70"/>
  <c r="G221" i="70" s="1"/>
  <c r="G220" i="70"/>
  <c r="G219" i="70"/>
  <c r="G218" i="70"/>
  <c r="E217" i="70"/>
  <c r="G217" i="70"/>
  <c r="E216" i="70"/>
  <c r="G216" i="70"/>
  <c r="E215" i="70"/>
  <c r="G215" i="70"/>
  <c r="G214" i="70"/>
  <c r="G213" i="70"/>
  <c r="E212" i="70"/>
  <c r="G212" i="70"/>
  <c r="E211" i="70"/>
  <c r="G211" i="70"/>
  <c r="G204" i="70"/>
  <c r="G203" i="70"/>
  <c r="G202" i="70"/>
  <c r="G201" i="70"/>
  <c r="E200" i="70"/>
  <c r="G200" i="70"/>
  <c r="E199" i="70"/>
  <c r="G199" i="70"/>
  <c r="G198" i="70"/>
  <c r="E197" i="70"/>
  <c r="G197" i="70" s="1"/>
  <c r="E196" i="70"/>
  <c r="G196" i="70" s="1"/>
  <c r="E195" i="70"/>
  <c r="G195" i="70" s="1"/>
  <c r="E183" i="70"/>
  <c r="G183" i="70" s="1"/>
  <c r="E182" i="70"/>
  <c r="G182" i="70" s="1"/>
  <c r="E180" i="70"/>
  <c r="G180" i="70" s="1"/>
  <c r="E179" i="70"/>
  <c r="G179" i="70" s="1"/>
  <c r="E178" i="70"/>
  <c r="G178" i="70" s="1"/>
  <c r="E166" i="70"/>
  <c r="G166" i="70" s="1"/>
  <c r="E165" i="70"/>
  <c r="G165" i="70" s="1"/>
  <c r="E163" i="70"/>
  <c r="G163" i="70" s="1"/>
  <c r="E162" i="70"/>
  <c r="G162" i="70" s="1"/>
  <c r="E161" i="70"/>
  <c r="G161" i="70" s="1"/>
  <c r="E154" i="70"/>
  <c r="G154" i="70" s="1"/>
  <c r="E149" i="70"/>
  <c r="G149" i="70" s="1"/>
  <c r="E148" i="70"/>
  <c r="G148" i="70" s="1"/>
  <c r="E146" i="70"/>
  <c r="G146" i="70" s="1"/>
  <c r="E145" i="70"/>
  <c r="G145" i="70" s="1"/>
  <c r="E144" i="70"/>
  <c r="G144" i="70" s="1"/>
  <c r="I135" i="70"/>
  <c r="I136" i="70" s="1"/>
  <c r="L123" i="70"/>
  <c r="O116" i="70"/>
  <c r="L108" i="70"/>
  <c r="L93" i="70"/>
  <c r="O92" i="70"/>
  <c r="E93" i="70" s="1"/>
  <c r="E95" i="70" s="1"/>
  <c r="L78" i="70"/>
  <c r="P73" i="70"/>
  <c r="E78" i="70" s="1"/>
  <c r="E80" i="70" s="1"/>
  <c r="R67" i="70"/>
  <c r="E64" i="70"/>
  <c r="E94" i="70" s="1"/>
  <c r="L63" i="70"/>
  <c r="O62" i="70"/>
  <c r="I63" i="70"/>
  <c r="L13" i="62"/>
  <c r="M13" i="62"/>
  <c r="P13" i="62"/>
  <c r="L28" i="62"/>
  <c r="O39" i="62"/>
  <c r="L44" i="62"/>
  <c r="M52" i="62"/>
  <c r="I60" i="62"/>
  <c r="I71" i="62" s="1"/>
  <c r="L60" i="62"/>
  <c r="O75" i="62"/>
  <c r="L76" i="62"/>
  <c r="R80" i="62"/>
  <c r="P87" i="62"/>
  <c r="L92" i="62"/>
  <c r="O107" i="62"/>
  <c r="E124" i="62"/>
  <c r="E135" i="62" s="1"/>
  <c r="L108" i="62"/>
  <c r="L124" i="62"/>
  <c r="O132" i="62"/>
  <c r="L140" i="62"/>
  <c r="L457" i="62"/>
  <c r="A77" i="17"/>
  <c r="Q22" i="62"/>
  <c r="E442" i="62"/>
  <c r="G442" i="62"/>
  <c r="E441" i="62"/>
  <c r="G441" i="62"/>
  <c r="E439" i="62"/>
  <c r="G439" i="62"/>
  <c r="E438" i="62"/>
  <c r="G438" i="62" s="1"/>
  <c r="E437" i="62"/>
  <c r="G437" i="62" s="1"/>
  <c r="E430" i="62"/>
  <c r="G430" i="62" s="1"/>
  <c r="E427" i="62"/>
  <c r="G427" i="62" s="1"/>
  <c r="E426" i="62"/>
  <c r="G426" i="62" s="1"/>
  <c r="E425" i="62"/>
  <c r="G425" i="62" s="1"/>
  <c r="E422" i="62"/>
  <c r="G422" i="62" s="1"/>
  <c r="E421" i="62"/>
  <c r="G421" i="62" s="1"/>
  <c r="E414" i="62"/>
  <c r="G414" i="62" s="1"/>
  <c r="E410" i="62"/>
  <c r="G410" i="62" s="1"/>
  <c r="E409" i="62"/>
  <c r="G409" i="62" s="1"/>
  <c r="E408" i="62"/>
  <c r="G408" i="62" s="1"/>
  <c r="E405" i="62"/>
  <c r="G405" i="62" s="1"/>
  <c r="E404" i="62"/>
  <c r="G404" i="62" s="1"/>
  <c r="E396" i="62"/>
  <c r="G396" i="62" s="1"/>
  <c r="E379" i="62"/>
  <c r="G379" i="62" s="1"/>
  <c r="E388" i="62"/>
  <c r="G388" i="62" s="1"/>
  <c r="E389" i="62"/>
  <c r="G389" i="62" s="1"/>
  <c r="E392" i="62"/>
  <c r="G392" i="62" s="1"/>
  <c r="E393" i="62"/>
  <c r="G393" i="62" s="1"/>
  <c r="E394" i="62"/>
  <c r="G394" i="62" s="1"/>
  <c r="E397" i="62"/>
  <c r="G397" i="62" s="1"/>
  <c r="E381" i="62"/>
  <c r="G381" i="62" s="1"/>
  <c r="E377" i="62"/>
  <c r="G377" i="62" s="1"/>
  <c r="E376" i="62"/>
  <c r="G376" i="62" s="1"/>
  <c r="E375" i="62"/>
  <c r="G375" i="62" s="1"/>
  <c r="E372" i="62"/>
  <c r="G372" i="62" s="1"/>
  <c r="E371" i="62"/>
  <c r="G371" i="62" s="1"/>
  <c r="G382" i="62" s="1"/>
  <c r="G384" i="62" s="1"/>
  <c r="E40" i="17" s="1"/>
  <c r="E364" i="62"/>
  <c r="G364" i="62" s="1"/>
  <c r="E361" i="62"/>
  <c r="G361" i="62" s="1"/>
  <c r="E360" i="62"/>
  <c r="G360" i="62" s="1"/>
  <c r="E359" i="62"/>
  <c r="G359" i="62" s="1"/>
  <c r="E356" i="62"/>
  <c r="G356" i="62" s="1"/>
  <c r="G365" i="62" s="1"/>
  <c r="G367" i="62" s="1"/>
  <c r="E39" i="17" s="1"/>
  <c r="E355" i="62"/>
  <c r="G355" i="62" s="1"/>
  <c r="E348" i="62"/>
  <c r="G348" i="62" s="1"/>
  <c r="E344" i="62"/>
  <c r="G344" i="62" s="1"/>
  <c r="E343" i="62"/>
  <c r="G343" i="62"/>
  <c r="E342" i="62"/>
  <c r="G342" i="62"/>
  <c r="E339" i="62"/>
  <c r="G339" i="62"/>
  <c r="E338" i="62"/>
  <c r="G338" i="62"/>
  <c r="E331" i="62"/>
  <c r="G331" i="62"/>
  <c r="E328" i="62"/>
  <c r="G328" i="62"/>
  <c r="E327" i="62"/>
  <c r="G327" i="62"/>
  <c r="E326" i="62"/>
  <c r="G326" i="62" s="1"/>
  <c r="E323" i="62"/>
  <c r="G323" i="62" s="1"/>
  <c r="E322" i="62"/>
  <c r="G322" i="62" s="1"/>
  <c r="E315" i="62"/>
  <c r="G315" i="62" s="1"/>
  <c r="E311" i="62"/>
  <c r="G311" i="62" s="1"/>
  <c r="E310" i="62"/>
  <c r="G310" i="62" s="1"/>
  <c r="E309" i="62"/>
  <c r="G309" i="62" s="1"/>
  <c r="G316" i="62" s="1"/>
  <c r="G318" i="62" s="1"/>
  <c r="E36" i="17" s="1"/>
  <c r="E306" i="62"/>
  <c r="G306" i="62" s="1"/>
  <c r="E305" i="62"/>
  <c r="G305" i="62"/>
  <c r="E294" i="62"/>
  <c r="G294" i="62" s="1"/>
  <c r="E293" i="62"/>
  <c r="G293" i="62"/>
  <c r="E291" i="62"/>
  <c r="G291" i="62" s="1"/>
  <c r="E290" i="62"/>
  <c r="G290" i="62"/>
  <c r="E289" i="62"/>
  <c r="G289" i="62" s="1"/>
  <c r="E277" i="62"/>
  <c r="G277" i="62"/>
  <c r="E276" i="62"/>
  <c r="G276" i="62" s="1"/>
  <c r="E274" i="62"/>
  <c r="G274" i="62"/>
  <c r="E273" i="62"/>
  <c r="G273" i="62" s="1"/>
  <c r="E272" i="62"/>
  <c r="G272" i="62"/>
  <c r="E261" i="62"/>
  <c r="G261" i="62" s="1"/>
  <c r="E260" i="62"/>
  <c r="G260" i="62"/>
  <c r="E258" i="62"/>
  <c r="G258" i="62"/>
  <c r="E257" i="62"/>
  <c r="G257" i="62"/>
  <c r="E256" i="62"/>
  <c r="G256" i="62"/>
  <c r="E241" i="62"/>
  <c r="G241" i="62"/>
  <c r="E240" i="62"/>
  <c r="G240" i="62"/>
  <c r="E239" i="62"/>
  <c r="G239" i="62"/>
  <c r="E244" i="62"/>
  <c r="G244" i="62"/>
  <c r="E243" i="62"/>
  <c r="G243" i="62"/>
  <c r="E232" i="62"/>
  <c r="G232" i="62"/>
  <c r="E230" i="62"/>
  <c r="G230" i="62"/>
  <c r="E229" i="62"/>
  <c r="G229" i="62"/>
  <c r="E228" i="62"/>
  <c r="G228" i="62"/>
  <c r="E227" i="62"/>
  <c r="G227" i="62"/>
  <c r="E224" i="62"/>
  <c r="G224" i="62"/>
  <c r="E223" i="62"/>
  <c r="G223" i="62"/>
  <c r="E216" i="62"/>
  <c r="G216" i="62"/>
  <c r="E213" i="62"/>
  <c r="G213" i="62"/>
  <c r="E212" i="62"/>
  <c r="G212" i="62"/>
  <c r="E210" i="62"/>
  <c r="G210" i="62"/>
  <c r="E211" i="62"/>
  <c r="G211" i="62"/>
  <c r="E207" i="62"/>
  <c r="G207" i="62"/>
  <c r="E206" i="62"/>
  <c r="G206" i="62" s="1"/>
  <c r="G217" i="62" s="1"/>
  <c r="G219" i="62" s="1"/>
  <c r="E30" i="17" s="1"/>
  <c r="E199" i="62"/>
  <c r="G199" i="62" s="1"/>
  <c r="E194" i="62"/>
  <c r="G194" i="62" s="1"/>
  <c r="E193" i="62"/>
  <c r="G193" i="62" s="1"/>
  <c r="E191" i="62"/>
  <c r="G191" i="62" s="1"/>
  <c r="E190" i="62"/>
  <c r="G190" i="62" s="1"/>
  <c r="E189" i="62"/>
  <c r="G189" i="62"/>
  <c r="E177" i="62"/>
  <c r="G177" i="62"/>
  <c r="E176" i="62"/>
  <c r="G176" i="62"/>
  <c r="E174" i="62"/>
  <c r="G174" i="62"/>
  <c r="E173" i="62"/>
  <c r="G173" i="62"/>
  <c r="E172" i="62"/>
  <c r="G172" i="62"/>
  <c r="Q25" i="70"/>
  <c r="I51" i="62"/>
  <c r="E87" i="70"/>
  <c r="E102" i="70" s="1"/>
  <c r="I102" i="70" s="1"/>
  <c r="E12" i="69"/>
  <c r="I76" i="70"/>
  <c r="E14" i="69"/>
  <c r="E13" i="69"/>
  <c r="I91" i="70"/>
  <c r="I106" i="70"/>
  <c r="E16" i="69"/>
  <c r="E15" i="69"/>
  <c r="I121" i="70"/>
  <c r="I24" i="75"/>
  <c r="I25" i="75" s="1"/>
  <c r="I50" i="75" s="1"/>
  <c r="O99" i="74"/>
  <c r="R97" i="74"/>
  <c r="T34" i="74"/>
  <c r="M46" i="74"/>
  <c r="T45" i="74"/>
  <c r="T47" i="74" s="1"/>
  <c r="L50" i="74" s="1"/>
  <c r="T49" i="74" s="1"/>
  <c r="R48" i="74"/>
  <c r="I22" i="62"/>
  <c r="E46" i="62"/>
  <c r="E49" i="62" s="1"/>
  <c r="I44" i="62"/>
  <c r="I46" i="62" s="1"/>
  <c r="E142" i="62"/>
  <c r="E145" i="62" s="1"/>
  <c r="G250" i="62"/>
  <c r="G252" i="62" s="1"/>
  <c r="E32" i="17" s="1"/>
  <c r="I94" i="62"/>
  <c r="E54" i="62"/>
  <c r="I54" i="62" s="1"/>
  <c r="I38" i="62"/>
  <c r="I30" i="62"/>
  <c r="E83" i="62"/>
  <c r="I83" i="62"/>
  <c r="E115" i="62"/>
  <c r="I115" i="62"/>
  <c r="I19" i="62"/>
  <c r="I32" i="62"/>
  <c r="E51" i="62"/>
  <c r="E109" i="62"/>
  <c r="E125" i="62"/>
  <c r="I125" i="62" s="1"/>
  <c r="E147" i="62"/>
  <c r="I99" i="62"/>
  <c r="E99" i="62"/>
  <c r="E131" i="62"/>
  <c r="E94" i="62"/>
  <c r="E93" i="62"/>
  <c r="I109" i="62"/>
  <c r="I93" i="62"/>
  <c r="I96" i="62"/>
  <c r="E211" i="47"/>
  <c r="C229" i="47"/>
  <c r="D230" i="47"/>
  <c r="F231" i="47" s="1"/>
  <c r="G231" i="47" s="1"/>
  <c r="G233" i="47" s="1"/>
  <c r="G303" i="47" s="1"/>
  <c r="E56" i="17" s="1"/>
  <c r="I97" i="62"/>
  <c r="E55" i="47"/>
  <c r="E52" i="47" s="1"/>
  <c r="E53" i="47" s="1"/>
  <c r="G53" i="47" s="1"/>
  <c r="G116" i="47" s="1"/>
  <c r="I115" i="70"/>
  <c r="I100" i="70"/>
  <c r="E85" i="70"/>
  <c r="I64" i="70"/>
  <c r="I78" i="70"/>
  <c r="E41" i="70"/>
  <c r="I41" i="70" s="1"/>
  <c r="I54" i="70"/>
  <c r="E100" i="70"/>
  <c r="E115" i="70"/>
  <c r="I85" i="70"/>
  <c r="G356" i="70"/>
  <c r="I48" i="70"/>
  <c r="E52" i="70"/>
  <c r="E20" i="70"/>
  <c r="G271" i="70"/>
  <c r="G273" i="70" s="1"/>
  <c r="E24" i="69" s="1"/>
  <c r="E63" i="70"/>
  <c r="G238" i="70"/>
  <c r="G240" i="70" s="1"/>
  <c r="I17" i="70"/>
  <c r="I20" i="70" s="1"/>
  <c r="I87" i="70"/>
  <c r="G205" i="70"/>
  <c r="G207" i="70" s="1"/>
  <c r="G222" i="70"/>
  <c r="G224" i="70" s="1"/>
  <c r="E220" i="47"/>
  <c r="E221" i="47" s="1"/>
  <c r="G221" i="47"/>
  <c r="D105" i="47"/>
  <c r="E105" i="47" s="1"/>
  <c r="G105" i="47" s="1"/>
  <c r="F67" i="47"/>
  <c r="G68" i="47" s="1"/>
  <c r="E71" i="47" s="1"/>
  <c r="G71" i="47" s="1"/>
  <c r="C48" i="47"/>
  <c r="C62" i="47"/>
  <c r="D108" i="47"/>
  <c r="E108" i="47" s="1"/>
  <c r="G108" i="47" s="1"/>
  <c r="G162" i="47"/>
  <c r="C144" i="47"/>
  <c r="C61" i="47"/>
  <c r="E138" i="47"/>
  <c r="E135" i="47" s="1"/>
  <c r="E136" i="47" s="1"/>
  <c r="G136" i="47" s="1"/>
  <c r="G197" i="47" s="1"/>
  <c r="D186" i="47"/>
  <c r="E186" i="47" s="1"/>
  <c r="G186" i="47" s="1"/>
  <c r="C131" i="47"/>
  <c r="C145" i="47" s="1"/>
  <c r="G283" i="62"/>
  <c r="G285" i="62"/>
  <c r="E34" i="17" s="1"/>
  <c r="G337" i="70"/>
  <c r="G339" i="70" s="1"/>
  <c r="E28" i="69" s="1"/>
  <c r="I51" i="70"/>
  <c r="I58" i="70"/>
  <c r="I49" i="70"/>
  <c r="I67" i="70"/>
  <c r="I65" i="70"/>
  <c r="I108" i="62"/>
  <c r="I119" i="62" s="1"/>
  <c r="G299" i="62"/>
  <c r="G301" i="62"/>
  <c r="E35" i="17" s="1"/>
  <c r="E180" i="47"/>
  <c r="G180" i="47" s="1"/>
  <c r="E117" i="70"/>
  <c r="I80" i="62"/>
  <c r="I78" i="62"/>
  <c r="E79" i="70"/>
  <c r="E83" i="70"/>
  <c r="E84" i="70" s="1"/>
  <c r="E89" i="70" s="1"/>
  <c r="E88" i="70"/>
  <c r="I33" i="62"/>
  <c r="E99" i="47"/>
  <c r="I62" i="62"/>
  <c r="I65" i="62"/>
  <c r="I66" i="62" s="1"/>
  <c r="E17" i="62"/>
  <c r="I64" i="62"/>
  <c r="G266" i="62"/>
  <c r="G268" i="62"/>
  <c r="E33" i="17" s="1"/>
  <c r="I140" i="62"/>
  <c r="I151" i="62" s="1"/>
  <c r="O28" i="74"/>
  <c r="T28" i="74"/>
  <c r="T29" i="74"/>
  <c r="G99" i="74" s="1"/>
  <c r="O97" i="74"/>
  <c r="T97" i="74" s="1"/>
  <c r="T104" i="74"/>
  <c r="E70" i="62"/>
  <c r="E86" i="62" s="1"/>
  <c r="M35" i="74"/>
  <c r="T35" i="74" s="1"/>
  <c r="T36" i="74" s="1"/>
  <c r="T106" i="74" s="1"/>
  <c r="G172" i="70"/>
  <c r="G174" i="70" s="1"/>
  <c r="E21" i="69" s="1"/>
  <c r="G288" i="70"/>
  <c r="G290" i="70"/>
  <c r="E25" i="69" s="1"/>
  <c r="I93" i="70"/>
  <c r="E103" i="70"/>
  <c r="E108" i="70"/>
  <c r="I108" i="70" s="1"/>
  <c r="G349" i="62"/>
  <c r="G351" i="62" s="1"/>
  <c r="E38" i="17" s="1"/>
  <c r="G415" i="62"/>
  <c r="G417" i="62" s="1"/>
  <c r="E42" i="17" s="1"/>
  <c r="G431" i="62"/>
  <c r="G433" i="62"/>
  <c r="E43" i="17" s="1"/>
  <c r="G304" i="70"/>
  <c r="G306" i="70"/>
  <c r="E26" i="69"/>
  <c r="E78" i="62"/>
  <c r="E81" i="62" s="1"/>
  <c r="E82" i="62" s="1"/>
  <c r="G233" i="62"/>
  <c r="G235" i="62"/>
  <c r="E31" i="17" s="1"/>
  <c r="E62" i="62"/>
  <c r="E65" i="62"/>
  <c r="G255" i="70"/>
  <c r="G257" i="70" s="1"/>
  <c r="E23" i="69" s="1"/>
  <c r="E54" i="70"/>
  <c r="E38" i="70"/>
  <c r="I38" i="70"/>
  <c r="E110" i="62"/>
  <c r="E113" i="62"/>
  <c r="T48" i="74"/>
  <c r="G183" i="62"/>
  <c r="G185" i="62"/>
  <c r="E28" i="17" s="1"/>
  <c r="G398" i="62"/>
  <c r="G400" i="62"/>
  <c r="E41" i="17"/>
  <c r="G155" i="70"/>
  <c r="G157" i="70" s="1"/>
  <c r="E20" i="69" s="1"/>
  <c r="D293" i="47"/>
  <c r="G81" i="47"/>
  <c r="I124" i="62"/>
  <c r="I135" i="62" s="1"/>
  <c r="I16" i="62"/>
  <c r="I17" i="62"/>
  <c r="I9" i="62"/>
  <c r="E50" i="62" s="1"/>
  <c r="E56" i="62" s="1"/>
  <c r="E57" i="62" s="1"/>
  <c r="I12" i="70"/>
  <c r="E53" i="70" s="1"/>
  <c r="E59" i="70" s="1"/>
  <c r="E60" i="70" s="1"/>
  <c r="E98" i="70"/>
  <c r="E125" i="70"/>
  <c r="E128" i="70"/>
  <c r="E129" i="70" s="1"/>
  <c r="I33" i="70"/>
  <c r="I36" i="70" s="1"/>
  <c r="E35" i="62"/>
  <c r="I35" i="70"/>
  <c r="G97" i="47"/>
  <c r="E67" i="62"/>
  <c r="D131" i="47"/>
  <c r="F132" i="47" s="1"/>
  <c r="G132" i="47" s="1"/>
  <c r="G195" i="47" s="1"/>
  <c r="I81" i="62"/>
  <c r="I82" i="62"/>
  <c r="E29" i="69"/>
  <c r="E57" i="70"/>
  <c r="I57" i="70" s="1"/>
  <c r="I59" i="70" s="1"/>
  <c r="I80" i="70"/>
  <c r="I88" i="70"/>
  <c r="I82" i="70"/>
  <c r="E65" i="70"/>
  <c r="E68" i="70" s="1"/>
  <c r="I52" i="70"/>
  <c r="I68" i="70"/>
  <c r="D48" i="47"/>
  <c r="F49" i="47"/>
  <c r="G49" i="47"/>
  <c r="G114" i="47" s="1"/>
  <c r="T105" i="74"/>
  <c r="I53" i="70"/>
  <c r="E114" i="62"/>
  <c r="I18" i="62"/>
  <c r="I24" i="62"/>
  <c r="I25" i="62" s="1"/>
  <c r="E8" i="17" s="1"/>
  <c r="E66" i="62"/>
  <c r="E72" i="62"/>
  <c r="E73" i="62" s="1"/>
  <c r="I97" i="70"/>
  <c r="I95" i="70"/>
  <c r="I103" i="70"/>
  <c r="E18" i="62"/>
  <c r="E24" i="62" s="1"/>
  <c r="E25" i="62" s="1"/>
  <c r="E7" i="17" s="1"/>
  <c r="E21" i="70"/>
  <c r="E27" i="70" s="1"/>
  <c r="E28" i="70" s="1"/>
  <c r="E37" i="70"/>
  <c r="E43" i="70"/>
  <c r="E44" i="70" s="1"/>
  <c r="I70" i="62"/>
  <c r="I112" i="62"/>
  <c r="I110" i="62"/>
  <c r="I113" i="62" s="1"/>
  <c r="E88" i="62"/>
  <c r="E89" i="62" s="1"/>
  <c r="E110" i="70"/>
  <c r="E133" i="70"/>
  <c r="I117" i="70"/>
  <c r="E146" i="62"/>
  <c r="E152" i="62" s="1"/>
  <c r="E153" i="62" s="1"/>
  <c r="I128" i="62"/>
  <c r="I126" i="62"/>
  <c r="I129" i="62" s="1"/>
  <c r="I144" i="62"/>
  <c r="I143" i="62"/>
  <c r="I142" i="62"/>
  <c r="G99" i="47"/>
  <c r="E10" i="69"/>
  <c r="I83" i="70"/>
  <c r="E135" i="70"/>
  <c r="E136" i="70" s="1"/>
  <c r="I69" i="70"/>
  <c r="I74" i="70" s="1"/>
  <c r="I130" i="62"/>
  <c r="E14" i="17"/>
  <c r="I26" i="62"/>
  <c r="I118" i="70"/>
  <c r="E102" i="62"/>
  <c r="I102" i="62" s="1"/>
  <c r="I86" i="62"/>
  <c r="I88" i="62" s="1"/>
  <c r="I89" i="62" s="1"/>
  <c r="E17" i="17" s="1"/>
  <c r="I61" i="70"/>
  <c r="E118" i="62"/>
  <c r="I118" i="62" s="1"/>
  <c r="E134" i="62"/>
  <c r="I134" i="62" s="1"/>
  <c r="E150" i="62"/>
  <c r="I150" i="62"/>
  <c r="I90" i="62" l="1"/>
  <c r="E16" i="17"/>
  <c r="E17" i="69"/>
  <c r="I137" i="70"/>
  <c r="E24" i="17"/>
  <c r="I155" i="62"/>
  <c r="I45" i="70"/>
  <c r="E9" i="69"/>
  <c r="E69" i="70"/>
  <c r="E74" i="70" s="1"/>
  <c r="I49" i="62"/>
  <c r="I99" i="74"/>
  <c r="I37" i="70"/>
  <c r="I43" i="70"/>
  <c r="I110" i="70"/>
  <c r="I112" i="70"/>
  <c r="D145" i="47"/>
  <c r="F146" i="47" s="1"/>
  <c r="G146" i="47" s="1"/>
  <c r="G191" i="47" s="1"/>
  <c r="I84" i="70"/>
  <c r="I89" i="70"/>
  <c r="G201" i="47"/>
  <c r="G205" i="47" s="1"/>
  <c r="I145" i="62"/>
  <c r="E7" i="69"/>
  <c r="E120" i="62"/>
  <c r="E121" i="62" s="1"/>
  <c r="E12" i="17"/>
  <c r="G199" i="47"/>
  <c r="G118" i="47"/>
  <c r="G120" i="47" s="1"/>
  <c r="G124" i="47" s="1"/>
  <c r="G110" i="47"/>
  <c r="I114" i="62"/>
  <c r="I120" i="62"/>
  <c r="I121" i="62" s="1"/>
  <c r="E21" i="17" s="1"/>
  <c r="E99" i="70"/>
  <c r="E104" i="70" s="1"/>
  <c r="E118" i="70"/>
  <c r="I21" i="70"/>
  <c r="I27" i="70" s="1"/>
  <c r="I28" i="70" s="1"/>
  <c r="E8" i="69" s="1"/>
  <c r="T59" i="74"/>
  <c r="G189" i="70"/>
  <c r="G191" i="70" s="1"/>
  <c r="I34" i="62"/>
  <c r="I40" i="62" s="1"/>
  <c r="I41" i="62" s="1"/>
  <c r="E11" i="17" s="1"/>
  <c r="E34" i="62"/>
  <c r="E40" i="62" s="1"/>
  <c r="E41" i="62" s="1"/>
  <c r="E97" i="62"/>
  <c r="G448" i="62"/>
  <c r="G450" i="62" s="1"/>
  <c r="E44" i="17" s="1"/>
  <c r="E48" i="17"/>
  <c r="I98" i="62"/>
  <c r="I104" i="62" s="1"/>
  <c r="I105" i="62" s="1"/>
  <c r="E19" i="17" s="1"/>
  <c r="G332" i="62"/>
  <c r="G334" i="62" s="1"/>
  <c r="E37" i="17" s="1"/>
  <c r="G200" i="62"/>
  <c r="G202" i="62" s="1"/>
  <c r="E29" i="17" s="1"/>
  <c r="E109" i="70"/>
  <c r="I94" i="70"/>
  <c r="I98" i="70" s="1"/>
  <c r="E47" i="17"/>
  <c r="E50" i="17" s="1"/>
  <c r="G39" i="47"/>
  <c r="G298" i="47" s="1"/>
  <c r="E49" i="17" s="1"/>
  <c r="I131" i="62"/>
  <c r="I136" i="62" s="1"/>
  <c r="I137" i="62" s="1"/>
  <c r="E23" i="17" s="1"/>
  <c r="E126" i="62"/>
  <c r="E129" i="62" s="1"/>
  <c r="I67" i="62"/>
  <c r="I72" i="62" s="1"/>
  <c r="I73" i="62" s="1"/>
  <c r="I55" i="62"/>
  <c r="I48" i="62"/>
  <c r="E15" i="17" l="1"/>
  <c r="I74" i="62"/>
  <c r="E98" i="62"/>
  <c r="E104" i="62" s="1"/>
  <c r="E105" i="62" s="1"/>
  <c r="G300" i="47"/>
  <c r="G248" i="47"/>
  <c r="I29" i="70"/>
  <c r="I138" i="70" s="1"/>
  <c r="I205" i="47"/>
  <c r="I206" i="47" s="1"/>
  <c r="I109" i="70"/>
  <c r="I113" i="70" s="1"/>
  <c r="E113" i="70"/>
  <c r="E18" i="69"/>
  <c r="E136" i="62"/>
  <c r="E137" i="62" s="1"/>
  <c r="E130" i="62"/>
  <c r="T107" i="74"/>
  <c r="K99" i="74"/>
  <c r="T99" i="74" s="1"/>
  <c r="T100" i="74" s="1"/>
  <c r="T108" i="74" s="1"/>
  <c r="I50" i="62"/>
  <c r="I56" i="62" s="1"/>
  <c r="I57" i="62" s="1"/>
  <c r="I99" i="70"/>
  <c r="I104" i="70" s="1"/>
  <c r="E10" i="17"/>
  <c r="I42" i="62"/>
  <c r="E45" i="17"/>
  <c r="G358" i="70"/>
  <c r="E22" i="69"/>
  <c r="E30" i="69" s="1"/>
  <c r="E33" i="69" s="1"/>
  <c r="E59" i="17" s="1"/>
  <c r="E60" i="17" s="1"/>
  <c r="E20" i="17"/>
  <c r="I122" i="62"/>
  <c r="I146" i="62"/>
  <c r="I152" i="62"/>
  <c r="I153" i="62" s="1"/>
  <c r="E9" i="17" s="1"/>
  <c r="E13" i="17" l="1"/>
  <c r="I58" i="62"/>
  <c r="E18" i="17"/>
  <c r="I106" i="62"/>
  <c r="E25" i="17"/>
  <c r="E52" i="17"/>
  <c r="E58" i="17" s="1"/>
  <c r="G306" i="47"/>
  <c r="E22" i="17"/>
  <c r="I138" i="62"/>
  <c r="E119" i="70"/>
  <c r="E114" i="70"/>
  <c r="I114" i="70"/>
  <c r="I119" i="70"/>
  <c r="T109" i="74"/>
  <c r="E63" i="17" l="1"/>
  <c r="I156" i="62"/>
  <c r="L460" i="62"/>
  <c r="E67" i="17" l="1"/>
  <c r="E66" i="17"/>
  <c r="E68" i="17" s="1"/>
  <c r="E75" i="17" s="1"/>
  <c r="E77" i="17" l="1"/>
  <c r="E12" i="72" s="1"/>
  <c r="F12" i="72" s="1"/>
  <c r="F13" i="72" s="1"/>
  <c r="E21" i="72" s="1"/>
  <c r="F21" i="72" s="1"/>
  <c r="E71" i="17"/>
  <c r="E72" i="17"/>
  <c r="E70" i="17"/>
  <c r="E73" i="17"/>
</calcChain>
</file>

<file path=xl/sharedStrings.xml><?xml version="1.0" encoding="utf-8"?>
<sst xmlns="http://schemas.openxmlformats.org/spreadsheetml/2006/main" count="2255" uniqueCount="532">
  <si>
    <t>Descrição</t>
  </si>
  <si>
    <t>Unidade</t>
  </si>
  <si>
    <t>Quantidade</t>
  </si>
  <si>
    <t>Mês</t>
  </si>
  <si>
    <t>PESSOAL REMUNERAÇÃO E ENCARGOS</t>
  </si>
  <si>
    <t>Subtotal 1</t>
  </si>
  <si>
    <t>UNIFORMES E EPI's</t>
  </si>
  <si>
    <t>Subtotal 2</t>
  </si>
  <si>
    <t>Subtotal 3</t>
  </si>
  <si>
    <t>Serviço de Rádio Comunicação</t>
  </si>
  <si>
    <t>Programação Visual</t>
  </si>
  <si>
    <t>Reserva Técnica</t>
  </si>
  <si>
    <t>Subtotal 4</t>
  </si>
  <si>
    <t>Subtotal 5</t>
  </si>
  <si>
    <t>TOTAL DOS CUSTOS OPERACIONAIS (1 + 2 + 3 + 4 + 5)</t>
  </si>
  <si>
    <t>TAXAS</t>
  </si>
  <si>
    <t>R$/Mês</t>
  </si>
  <si>
    <t>SUBTOTAL</t>
  </si>
  <si>
    <t>Descrição do Serviço</t>
  </si>
  <si>
    <t>UNIFORMES E EPI'S PARA CATADORES</t>
  </si>
  <si>
    <t>ÁGUA, ENERGIA ELÉTRICA E OUTROS MATERIAIS E INSUMOS</t>
  </si>
  <si>
    <t>* Os valores referidos incluem taxas de administração/lucro, impostos e todos os demais tributos</t>
  </si>
  <si>
    <t>GOVERNO DO DISTRITO FEDERAL</t>
  </si>
  <si>
    <t>SERVIÇO DE LIMPEZA URBANA - SLU</t>
  </si>
  <si>
    <t>LOTE 1</t>
  </si>
  <si>
    <t>Lavagens e Filtros</t>
  </si>
  <si>
    <t>TOTAL</t>
  </si>
  <si>
    <t>Item</t>
  </si>
  <si>
    <t>Preço Unitário</t>
  </si>
  <si>
    <t>PPR</t>
  </si>
  <si>
    <t>Assistente Técnico</t>
  </si>
  <si>
    <t>Encargos Sociais</t>
  </si>
  <si>
    <t>Reserva</t>
  </si>
  <si>
    <t>Óleo Câmbio</t>
  </si>
  <si>
    <t>Graxa</t>
  </si>
  <si>
    <t>Calça brim</t>
  </si>
  <si>
    <t>Camisa</t>
  </si>
  <si>
    <t>Calçados de Couro</t>
  </si>
  <si>
    <t>Tênis de couro</t>
  </si>
  <si>
    <t>Boné</t>
  </si>
  <si>
    <t>Capa de chuva</t>
  </si>
  <si>
    <t>Luvas de raspa</t>
  </si>
  <si>
    <t>Colete Refletivo</t>
  </si>
  <si>
    <t>Capacete</t>
  </si>
  <si>
    <t>Botina de couro</t>
  </si>
  <si>
    <t>Óculos de proteção</t>
  </si>
  <si>
    <t>Óleo Caixa de Direção</t>
  </si>
  <si>
    <t>Eixo Dianteiro e Traseiro</t>
  </si>
  <si>
    <t>Vida Útil</t>
  </si>
  <si>
    <t>mês</t>
  </si>
  <si>
    <t>CALCULO DA TAXA DE ENCARGOS SOCIAIS - (Salário Mensal - 220 horas/mês)</t>
  </si>
  <si>
    <t>DISCRIMINAÇÃO</t>
  </si>
  <si>
    <t>PERCENTUAL</t>
  </si>
  <si>
    <t xml:space="preserve">A.1. - </t>
  </si>
  <si>
    <t>INSS</t>
  </si>
  <si>
    <t xml:space="preserve">A.2. - </t>
  </si>
  <si>
    <t>FGTS</t>
  </si>
  <si>
    <t xml:space="preserve">A.3. - </t>
  </si>
  <si>
    <t>SESI</t>
  </si>
  <si>
    <t xml:space="preserve">A.4. - </t>
  </si>
  <si>
    <t>SENAI</t>
  </si>
  <si>
    <t xml:space="preserve">A.5. - </t>
  </si>
  <si>
    <t>Seguro Acidente do Trabalho</t>
  </si>
  <si>
    <t xml:space="preserve">A.6. - </t>
  </si>
  <si>
    <t>Salário Educação</t>
  </si>
  <si>
    <t xml:space="preserve">A.7. - </t>
  </si>
  <si>
    <t>INCRA</t>
  </si>
  <si>
    <t xml:space="preserve">A.8. - </t>
  </si>
  <si>
    <t>SEBRAE</t>
  </si>
  <si>
    <t>TOTAL DO GRUPO "A"</t>
  </si>
  <si>
    <t xml:space="preserve">B.1. - </t>
  </si>
  <si>
    <t xml:space="preserve">B.2. - </t>
  </si>
  <si>
    <t xml:space="preserve">B.3. - </t>
  </si>
  <si>
    <t>13º Salário</t>
  </si>
  <si>
    <t>TOTAL DO GRUPO "B"</t>
  </si>
  <si>
    <t xml:space="preserve">C.1. - </t>
  </si>
  <si>
    <t xml:space="preserve">C.2. - </t>
  </si>
  <si>
    <t>Aviso Prévio Indenizado</t>
  </si>
  <si>
    <t xml:space="preserve">C.3. - </t>
  </si>
  <si>
    <t>TOTAL DO GRUPO "C"</t>
  </si>
  <si>
    <t xml:space="preserve">D.1. - </t>
  </si>
  <si>
    <t>TOTAL DO GRUPO "D"</t>
  </si>
  <si>
    <t>TOTAL DO GRUPO "E"</t>
  </si>
  <si>
    <t>T O T A L</t>
  </si>
  <si>
    <t>DEMONSTRAÇÃO DE CÁLCULOS DAS TAXAS DE ENCARGOS SOCIAIS</t>
  </si>
  <si>
    <t>Meses</t>
  </si>
  <si>
    <t>Total</t>
  </si>
  <si>
    <t>Equipamentos</t>
  </si>
  <si>
    <t>Manutenção Predial</t>
  </si>
  <si>
    <t>Seguros</t>
  </si>
  <si>
    <t>Água</t>
  </si>
  <si>
    <t>Subtotal</t>
  </si>
  <si>
    <t>LOTE I</t>
  </si>
  <si>
    <t>MEMORIAL DE CÁLCULO</t>
  </si>
  <si>
    <t>Dias efetivos</t>
  </si>
  <si>
    <t>Horas/dia efetivos</t>
  </si>
  <si>
    <t>t/mês</t>
  </si>
  <si>
    <t>Km/dia</t>
  </si>
  <si>
    <t>Reserva Técnica de Mão de Obra</t>
  </si>
  <si>
    <t>Consumo/mês</t>
  </si>
  <si>
    <t>unid.</t>
  </si>
  <si>
    <t>par</t>
  </si>
  <si>
    <t>Nº Funcionários</t>
  </si>
  <si>
    <t>3 - EQUIPAMENTOS/VEÍCULOS</t>
  </si>
  <si>
    <t>A - DEPRECIAÇÃO</t>
  </si>
  <si>
    <t>Valor do chassi</t>
  </si>
  <si>
    <t>Custo s/ Pneus</t>
  </si>
  <si>
    <t>Vlr. Residual</t>
  </si>
  <si>
    <t>Nº Unidades</t>
  </si>
  <si>
    <t>Valor do equipamento</t>
  </si>
  <si>
    <t>Custo de Pneus</t>
  </si>
  <si>
    <t>B - CUSTO DE CAPITAL</t>
  </si>
  <si>
    <t>Im = (V x (n+1)) / 2n</t>
  </si>
  <si>
    <t xml:space="preserve">Im  =  </t>
  </si>
  <si>
    <t>C = (Im*j)/ a</t>
  </si>
  <si>
    <t xml:space="preserve">C  =  </t>
  </si>
  <si>
    <t xml:space="preserve">V  =  </t>
  </si>
  <si>
    <t>Valor de aquisição</t>
  </si>
  <si>
    <t xml:space="preserve">n  =  </t>
  </si>
  <si>
    <t>vida útil-anos</t>
  </si>
  <si>
    <t xml:space="preserve">j  =  </t>
  </si>
  <si>
    <t>juros - % ano</t>
  </si>
  <si>
    <t xml:space="preserve">a  =  </t>
  </si>
  <si>
    <t>meses/ano</t>
  </si>
  <si>
    <t>C - MANUTENÇÃO</t>
  </si>
  <si>
    <t>Valor Unitário</t>
  </si>
  <si>
    <t>Coef. Manut.</t>
  </si>
  <si>
    <t>D - COMBUSTÍVEIS E LUBRIFICANTES</t>
  </si>
  <si>
    <t>Consumo combustível</t>
  </si>
  <si>
    <t>R$/Km</t>
  </si>
  <si>
    <t>Preço/litro</t>
  </si>
  <si>
    <t>Percentual s/ combustíveis</t>
  </si>
  <si>
    <t>Custo Combustíveis</t>
  </si>
  <si>
    <t>Lubrificantes</t>
  </si>
  <si>
    <t>Índice Consumo</t>
  </si>
  <si>
    <t>Óleo Carter</t>
  </si>
  <si>
    <t>Caixa Diferencial</t>
  </si>
  <si>
    <t>Óleo Comando</t>
  </si>
  <si>
    <t>Fluído Freio</t>
  </si>
  <si>
    <t>Cálculo da quilometragem mensal</t>
  </si>
  <si>
    <t>Nº de Veículos</t>
  </si>
  <si>
    <t>Dias/mês</t>
  </si>
  <si>
    <t>Quilômetros/mês</t>
  </si>
  <si>
    <t>E - PNEUS, CÂMARAS E ACESSÓRIOS</t>
  </si>
  <si>
    <t>Recapagens/ciclo</t>
  </si>
  <si>
    <t>Pneus Dianteiros</t>
  </si>
  <si>
    <t>Câmaras</t>
  </si>
  <si>
    <t>Protetores</t>
  </si>
  <si>
    <t>Ciclo de Troca</t>
  </si>
  <si>
    <t>Recapagens</t>
  </si>
  <si>
    <t>Pneus Traseiros</t>
  </si>
  <si>
    <t>F - SEGUROS E LICENCIAMENTOS</t>
  </si>
  <si>
    <t>Txs. Detran/Seg. Obr./IPVA</t>
  </si>
  <si>
    <t>%</t>
  </si>
  <si>
    <t>R$/Ano</t>
  </si>
  <si>
    <t>Seg. Obrigatório</t>
  </si>
  <si>
    <t>I.P.V.A.</t>
  </si>
  <si>
    <t>Seguros C/ Terc.</t>
  </si>
  <si>
    <t>C - SEGUROS E LICENCIAMENTOS</t>
  </si>
  <si>
    <t>Quilômetros/dia</t>
  </si>
  <si>
    <t>Seguros Total</t>
  </si>
  <si>
    <t>Valor do Equipamento</t>
  </si>
  <si>
    <t xml:space="preserve">Custo </t>
  </si>
  <si>
    <t>Custo</t>
  </si>
  <si>
    <t>TOTAL MENSAL DE VEÍCULOS E EQUIPAMENTOS</t>
  </si>
  <si>
    <t>Amortização</t>
  </si>
  <si>
    <t>Número de Veículos</t>
  </si>
  <si>
    <t>Custo Unitário por unidade</t>
  </si>
  <si>
    <t>Unidades</t>
  </si>
  <si>
    <t>A - MANUTENÇÃO</t>
  </si>
  <si>
    <t>CUSTO MENSAL DOS SERVIÇOS</t>
  </si>
  <si>
    <t>TOTAL MENSAL DOS SERVIÇOS</t>
  </si>
  <si>
    <t>TONELADAS POR MÊS</t>
  </si>
  <si>
    <t>Caminhão Basculante de 6m³</t>
  </si>
  <si>
    <t>Pá Carregadeira</t>
  </si>
  <si>
    <t>R$/h</t>
  </si>
  <si>
    <t>Cálculo de horas trabalhadas</t>
  </si>
  <si>
    <t>Horas/dia</t>
  </si>
  <si>
    <t>Nº de equipamentos</t>
  </si>
  <si>
    <t>Horas/mês</t>
  </si>
  <si>
    <t>3.4 PÁ CARREGADEIRA RESERVA</t>
  </si>
  <si>
    <t>vb</t>
  </si>
  <si>
    <t>Quantidade de resíduos</t>
  </si>
  <si>
    <t>Veículos e Equipamentos</t>
  </si>
  <si>
    <t>Horas efetivas/dia/equipamento</t>
  </si>
  <si>
    <t>Nº de catadores</t>
  </si>
  <si>
    <t>1 - ENGENHARIA AMBIENTAL/MONITORAMENTOS</t>
  </si>
  <si>
    <t>Valor mensal</t>
  </si>
  <si>
    <t>Engenharia Ambiental</t>
  </si>
  <si>
    <t>Monitoramento e Análises</t>
  </si>
  <si>
    <t>2 - MANUTENÇÃO</t>
  </si>
  <si>
    <t>Energia Elétrica</t>
  </si>
  <si>
    <t>Materiais Diversos</t>
  </si>
  <si>
    <t>Valor unitário</t>
  </si>
  <si>
    <t>Motorista Diurno</t>
  </si>
  <si>
    <t>Operador de Máquina Diurno</t>
  </si>
  <si>
    <t>Servente Diurno</t>
  </si>
  <si>
    <t>Servente Noturno</t>
  </si>
  <si>
    <t>Operador de Painel Diurno</t>
  </si>
  <si>
    <t>Operador de Painel Noturno</t>
  </si>
  <si>
    <t>Orientador Oper. Diurno</t>
  </si>
  <si>
    <t>Orientador Oper. Noturno</t>
  </si>
  <si>
    <t>Aux. Manutenção Diurno</t>
  </si>
  <si>
    <t>Aux. Manutenção Noturno</t>
  </si>
  <si>
    <t>Eletricista Diurno</t>
  </si>
  <si>
    <t>Elitricista Noturno</t>
  </si>
  <si>
    <t>Soldador Diurno</t>
  </si>
  <si>
    <t>Soldador Noturno</t>
  </si>
  <si>
    <t>Mecânico Diurno</t>
  </si>
  <si>
    <t>Mecânico Noturno</t>
  </si>
  <si>
    <t>Encarregado Diurno</t>
  </si>
  <si>
    <t>P L A N I L H A   D E   C U S T O   D E   M Ã O   D E   O B R A</t>
  </si>
  <si>
    <t>OBRA/SERVIÇOS</t>
  </si>
  <si>
    <t>ENDEREÇO/LOCAL</t>
  </si>
  <si>
    <t>TABELA/FONTE</t>
  </si>
  <si>
    <t>CONVENÇÃO DA CATEGORIA</t>
  </si>
  <si>
    <t xml:space="preserve">I - TIPO DE MÃO DE OBRA </t>
  </si>
  <si>
    <t>R$</t>
  </si>
  <si>
    <t>1 - Salario Normativo da Categoria</t>
  </si>
  <si>
    <t>feriado</t>
  </si>
  <si>
    <t>premio</t>
  </si>
  <si>
    <t>encargos sociais</t>
  </si>
  <si>
    <t>VALE TRANSPORTE</t>
  </si>
  <si>
    <t>SUB TOTAL</t>
  </si>
  <si>
    <t xml:space="preserve"> Salario Normativo da Categoria</t>
  </si>
  <si>
    <t>adicional noturno</t>
  </si>
  <si>
    <t>subtotal</t>
  </si>
  <si>
    <t>vale transporte</t>
  </si>
  <si>
    <t>aux creche/odont</t>
  </si>
  <si>
    <t>vale alimentação</t>
  </si>
  <si>
    <t>FERIADO</t>
  </si>
  <si>
    <t>subtotal-2</t>
  </si>
  <si>
    <t>REMUNERAÇÃO DO MOTORISTA DIURNO</t>
  </si>
  <si>
    <r>
      <t>2 - Adicionais (</t>
    </r>
    <r>
      <rPr>
        <b/>
        <sz val="8"/>
        <rFont val="Arial"/>
        <family val="2"/>
      </rPr>
      <t>insalubridade grau médio-20%</t>
    </r>
    <r>
      <rPr>
        <sz val="8"/>
        <rFont val="Arial"/>
        <family val="2"/>
      </rPr>
      <t>)</t>
    </r>
  </si>
  <si>
    <r>
      <t>Adicionais (</t>
    </r>
    <r>
      <rPr>
        <b/>
        <sz val="8"/>
        <rFont val="Arial"/>
        <family val="2"/>
      </rPr>
      <t>insalubridade grau médio-20%</t>
    </r>
    <r>
      <rPr>
        <sz val="8"/>
        <rFont val="Arial"/>
        <family val="2"/>
      </rPr>
      <t>)</t>
    </r>
  </si>
  <si>
    <t xml:space="preserve">REMUNERAÇÃO </t>
  </si>
  <si>
    <t>ASA SUL</t>
  </si>
  <si>
    <t>REMUNERAÇÃO DO OPERADOR DE MAQUINA</t>
  </si>
  <si>
    <t>REMUNERAÇÃO SERVENTE</t>
  </si>
  <si>
    <t>REMUNERAÇÃO SERVENTE -NOTURNO</t>
  </si>
  <si>
    <t>REMUNERAÇÃO DO OP  PAINEL - DIURNO</t>
  </si>
  <si>
    <t>REMUNERAÇÃO DO OPERADOR DE PAINEL NOTURNO</t>
  </si>
  <si>
    <r>
      <t>2 - Adicionais (</t>
    </r>
    <r>
      <rPr>
        <b/>
        <sz val="8"/>
        <rFont val="Arial"/>
        <family val="2"/>
      </rPr>
      <t>insalubridade grau MAX-40%</t>
    </r>
    <r>
      <rPr>
        <sz val="8"/>
        <rFont val="Arial"/>
        <family val="2"/>
      </rPr>
      <t>)</t>
    </r>
  </si>
  <si>
    <t>REMUNERAÇÃO ORIENTADOR OPERACIONAL USINA</t>
  </si>
  <si>
    <t>REMUNERAÇÃO ORIENTADOR OP USINA -NOTURNO</t>
  </si>
  <si>
    <r>
      <t>Adicionais (</t>
    </r>
    <r>
      <rPr>
        <b/>
        <sz val="8"/>
        <rFont val="Arial"/>
        <family val="2"/>
      </rPr>
      <t>insalubridade grau MEDIO-20%</t>
    </r>
    <r>
      <rPr>
        <sz val="8"/>
        <rFont val="Arial"/>
        <family val="2"/>
      </rPr>
      <t>)</t>
    </r>
  </si>
  <si>
    <t>REMUNERAÇÃO AUXILIAR DE MANUTENÇÃO-DIURNO</t>
  </si>
  <si>
    <t>REMUNERAÇÃO AUXILIAR DE MANUTENÇÃO -NOTURNO</t>
  </si>
  <si>
    <t>REMUNERAÇÃO ELETRICISTA-DIURNO</t>
  </si>
  <si>
    <t>REMUNERAÇÃO ELETRICISTA -NOTURNO</t>
  </si>
  <si>
    <t>TOTAL ELETRICISTA</t>
  </si>
  <si>
    <t>REMUNERAÇÃO SOLDADOR-DIURNO</t>
  </si>
  <si>
    <t>REMUNERAÇÃO SOLDADOR -NOTURNO</t>
  </si>
  <si>
    <t>REMUNERAÇÃO MECANICO-DIURNO</t>
  </si>
  <si>
    <t>REMUNERAÇÃO MACANICO -NOTURNO</t>
  </si>
  <si>
    <t>REMUNERAÇÃO ENCARREGADO USINA-DIURNO</t>
  </si>
  <si>
    <t>total p/          NOTURNO</t>
  </si>
  <si>
    <t>TOTAL - P13 - OPERAÇÃO DE USINA DE TRIAGEM E COMPOSTAGEM -ASA SUL -UTL-C/ M.O.</t>
  </si>
  <si>
    <t>2 - Adicionais (insalubridade grau médio-20%)</t>
  </si>
  <si>
    <t>TOTAL GERAL P/ SERVENTE</t>
  </si>
  <si>
    <t>TOTAL p/1,1 ORIENTADOR OP USINA NOTURNO</t>
  </si>
  <si>
    <t>TOTAL ORIENTADOR OPERACIONAL USINA</t>
  </si>
  <si>
    <t>TOTAL OPERADOR DE PAINEL</t>
  </si>
  <si>
    <t>TOTAL p/3,3 AUXILIAR DE MANUTENÇÃO-DIURNO</t>
  </si>
  <si>
    <t>TOTAL p/1,1 AUXILIAR DE MANUTENÇÃO NOTURNO</t>
  </si>
  <si>
    <t>TOTAL AUXILIAR DE MANUTENÇÃO</t>
  </si>
  <si>
    <r>
      <t>Adicionais (periculosidade</t>
    </r>
    <r>
      <rPr>
        <b/>
        <sz val="8"/>
        <rFont val="Arial"/>
        <family val="2"/>
      </rPr>
      <t>-30% S.B.</t>
    </r>
    <r>
      <rPr>
        <sz val="8"/>
        <rFont val="Arial"/>
        <family val="2"/>
      </rPr>
      <t>)</t>
    </r>
  </si>
  <si>
    <t>TOTAL p/2,2 ELETRICISTA-DIURNO</t>
  </si>
  <si>
    <t>TOTAL p/1,1 ELETRICISTA NOTURNO</t>
  </si>
  <si>
    <t>TOTAL p/2,2 SOLDADOR-DIURNO</t>
  </si>
  <si>
    <t>TOTAL p/1,1 SOLDADOR NOTURNO</t>
  </si>
  <si>
    <t>TOTAL SOLDADOR</t>
  </si>
  <si>
    <t>TOTAL p/3,3 MECANICO-DIURNO</t>
  </si>
  <si>
    <t>TOTAL p/1,1 MECANICO NOTURNO</t>
  </si>
  <si>
    <t>TOTAL MECANICO</t>
  </si>
  <si>
    <t xml:space="preserve">Adicionais </t>
  </si>
  <si>
    <t>TOTAL p/1,1 ENCARREGADO USINA-DIURNO</t>
  </si>
  <si>
    <t>TOTAL ENCARREGADO USINA</t>
  </si>
  <si>
    <t>UNIFORMES E EPIS (INCLUSÃO PROTETOR SOLAR)</t>
  </si>
  <si>
    <t>Protetor Solar</t>
  </si>
  <si>
    <t>ÁGUA E ENERGIA ELÉTRICA</t>
  </si>
  <si>
    <t>OUTROS MATERIAIS</t>
  </si>
  <si>
    <t>3.1 CAMINHÃO BASCULANTE 6m³</t>
  </si>
  <si>
    <t>3.3 PÁ CARREGADEIRA</t>
  </si>
  <si>
    <t>4 - MÃO-DE-OBRA</t>
  </si>
  <si>
    <t>3.2 CAMINHÃO BASCULANTE RESERVA</t>
  </si>
  <si>
    <t>3.5 SISTEMA DE COMUNICAÇÃO</t>
  </si>
  <si>
    <t>3.6 PROGRAMAÇÃO VISUAL</t>
  </si>
  <si>
    <t xml:space="preserve">AUX CRECHE </t>
  </si>
  <si>
    <t>AUX CRECHE</t>
  </si>
  <si>
    <t>TOTAL MENSAL COM CAMINHÃO BASCULANTE 6m³</t>
  </si>
  <si>
    <t>CUSTO POR CAMINHÃO BASCULANTE RESERVA</t>
  </si>
  <si>
    <t>Nº DE CAMINHÃO BASCULANTE RESERVA</t>
  </si>
  <si>
    <t>TOTAL MENSAL COM CAMINHÃO BASCULANTE RESERVA</t>
  </si>
  <si>
    <t>TOTAL MENSAL COM PÁ CARREGADEIRA</t>
  </si>
  <si>
    <t>CUSTO POR PÁ CARREGADEIRA RESERVA</t>
  </si>
  <si>
    <t>Nº DE PÁ CARREGADEIRA RESERVA</t>
  </si>
  <si>
    <t>TOTAL MENSAL COM PÁ CARREGADEIRA RESERVA</t>
  </si>
  <si>
    <t>TOTAL MENSAL COM SISTEMA DE COMUNICAÇÃO</t>
  </si>
  <si>
    <t>TOTAL MENSAL COM PROGRAMAÇÃO VISUAL</t>
  </si>
  <si>
    <t>P1 - Operação da Usina de Triagem e Compostagem da Asa Sul (UTMB ASA SUL)</t>
  </si>
  <si>
    <t>Catadores</t>
  </si>
  <si>
    <t>MOTORISTA DIURNO</t>
  </si>
  <si>
    <t>OPERADOR DE MAQUINA DIURNO</t>
  </si>
  <si>
    <t>SERVENTE DURNO</t>
  </si>
  <si>
    <t>SERVENTE NOTURNO</t>
  </si>
  <si>
    <t>OPERADOR DE PAINEL DIURNO</t>
  </si>
  <si>
    <t>OPERADOR DE PAINEL NOTURNO</t>
  </si>
  <si>
    <t>ORIENTADOR OPERACIONAL USINA DIURNO</t>
  </si>
  <si>
    <t>ORIENTADOR OPERACIONAL USINA NOTURNO</t>
  </si>
  <si>
    <t>AUXILIAR DE MANUTENÇÃO DIURNO</t>
  </si>
  <si>
    <t>AUXILIAR DE MANUTENÇÃO NOTURNO</t>
  </si>
  <si>
    <t>ELETRICISTA DIURNO</t>
  </si>
  <si>
    <t>ELETRICISTA NOTURNO</t>
  </si>
  <si>
    <t>SOLDADOR DIURNO</t>
  </si>
  <si>
    <t>SOLDADOR NOTURNO</t>
  </si>
  <si>
    <t>MECÂNICA DIURNO</t>
  </si>
  <si>
    <t>MECÂNICA NOTURNO</t>
  </si>
  <si>
    <t>ENCARREGADO USINA DIURNO</t>
  </si>
  <si>
    <t>CUSTOS FIXO USINA</t>
  </si>
  <si>
    <t>Engenharia/Monitoramento</t>
  </si>
  <si>
    <t>Manutenção de equipamentos da usina</t>
  </si>
  <si>
    <t>3.12 - Serviço de Rádio Comunicação</t>
  </si>
  <si>
    <t>3.13 - Programação Visual</t>
  </si>
  <si>
    <t>Água, Energia Elétrica e Outros Materiais e Insumos</t>
  </si>
  <si>
    <t>CUSTOS FIXOS/VARIÁVEIS DOS EQUIPAMENTOS</t>
  </si>
  <si>
    <t>Depreciação, Remuneração de Capital, Taxas DETRAN/Seg. Obrig./IPVA, Seguro do Casco, Peças e Material de Oficina, Pneus e Recapagens, Combustiveis, Lavagens e Filtros, Óleo do Cárter, Lubrificantes e Outros Óleos E Graxas</t>
  </si>
  <si>
    <t>3.1 - Depreciação, Remuneração de Capital, Taxas DETRAN/Seg. Obrig./IPVA, Seguro do Casco, Peças e Material de Oficina, Pneus e Recapagens, Combustiveis, Lavagens e Filtros, Óleo do Cárter, Lubrificantes e Outros Óleos E Graxas</t>
  </si>
  <si>
    <t>QUNATIDADE TOTAL (MÊS)</t>
  </si>
  <si>
    <t>REMUNERAÇÃO ENGENHEIRO MECÂNICO DIURNO</t>
  </si>
  <si>
    <t xml:space="preserve"> Salario Normativo da Categoria (SINAPI s/ Encargos)</t>
  </si>
  <si>
    <t>VALE TRANSPORTE/TRANSPORTE</t>
  </si>
  <si>
    <t>ENGENHEIRO MECÂNICO</t>
  </si>
  <si>
    <t>Engenheiro Mecânico</t>
  </si>
  <si>
    <t>APOIO</t>
  </si>
  <si>
    <t xml:space="preserve">Quadro Resumo de Mão de Obra - P1 </t>
  </si>
  <si>
    <t>Quadro Resumo de Mão de Obra - P1' Equipe de apoio</t>
  </si>
  <si>
    <t>TOTAL p/1 ENGENHEIRO MECÂNICO DE USINA-DIURNO</t>
  </si>
  <si>
    <t>TOTAL GERAL P/ 1 TÉCNICO DE SEGURANÇA</t>
  </si>
  <si>
    <t>TÉCNICO DE SEGURANÇA NO TRABALHO</t>
  </si>
  <si>
    <t>Técnico de Segurança no Trabalho</t>
  </si>
  <si>
    <t>REMUNERAÇÃO DO AUXILIAR ADMINISTRATIVO</t>
  </si>
  <si>
    <t>Auxiliar Administrativo Diurno</t>
  </si>
  <si>
    <t>AUXILIAR ADMINISTRATIVO DIURNO</t>
  </si>
  <si>
    <t>Aux. Administrativo Diurno</t>
  </si>
  <si>
    <t>REMUNERAÇÃO ASSISTENTE TÉCNICO</t>
  </si>
  <si>
    <t>ASSISTENTE TÉCNICO</t>
  </si>
  <si>
    <t>Assistente Técnico Diurno</t>
  </si>
  <si>
    <r>
      <t>Adicionais (</t>
    </r>
    <r>
      <rPr>
        <b/>
        <sz val="8"/>
        <color indexed="9"/>
        <rFont val="Arial"/>
        <family val="2"/>
      </rPr>
      <t>insalubridade grau médio-20%</t>
    </r>
    <r>
      <rPr>
        <sz val="8"/>
        <color indexed="9"/>
        <rFont val="Arial"/>
        <family val="2"/>
      </rPr>
      <t>)</t>
    </r>
  </si>
  <si>
    <t>TOTAL ENGENHEIRO MECÂNICO USINA</t>
  </si>
  <si>
    <t>TOTAL ASSISTENTE TÉCNICO USINA</t>
  </si>
  <si>
    <t>TOTAL AUXILIAR ADMINISTRATIVO</t>
  </si>
  <si>
    <t>TOTAL - P1' EQUIPE DE APOIO UTMB ASA SUL -C/ M.O.</t>
  </si>
  <si>
    <t>P1' - EQUIPE DE APOIO - OPERAÇÃO DE USINA DE TRIAGEM E COMPOSTAGEM -ASA SUL -UTMB</t>
  </si>
  <si>
    <t>P1 - OPERAÇÃO DE USINA DE TRIAGEM E COMPOSTAGEM -ASA SUL -UTMB</t>
  </si>
  <si>
    <t>TOTAL GERAL P/ 1 AUXIIAR ADMINISTRATIVO</t>
  </si>
  <si>
    <t>TOTAL p/1 ASSISTENTE TÉCNICO</t>
  </si>
  <si>
    <t>P1 Equipe de apoio</t>
  </si>
  <si>
    <t>PLANILHA RESUMO
P1 - Operação da Usina de Triagem e Compostagem da Asa Sul (UTMB ASA SUL)</t>
  </si>
  <si>
    <t>P1' - Equipe de apoio - Operação da Usina de Triagem e Compostagem da Asa Sul (UTMB ASA SUL)</t>
  </si>
  <si>
    <t>TOTAL DOS CUSTOS OPERACIONAIS (1 + 2)</t>
  </si>
  <si>
    <t>SLU</t>
  </si>
  <si>
    <t>Execução de Serviços de Limpeza Urbana no Distrito Federal</t>
  </si>
  <si>
    <t>Valor Mensal 2018</t>
  </si>
  <si>
    <t>Salário Mínimo</t>
  </si>
  <si>
    <t>-</t>
  </si>
  <si>
    <t xml:space="preserve"> PREÇOS EQUIPAMENTOS</t>
  </si>
  <si>
    <t>CÓD.</t>
  </si>
  <si>
    <t>EQUIPAMENTO</t>
  </si>
  <si>
    <t>PREÇO</t>
  </si>
  <si>
    <t>REFERÊNCIA</t>
  </si>
  <si>
    <t>VIDA
ÚTIL</t>
  </si>
  <si>
    <t>CAMINHAO TOCO, PESO BRUTO TOTAL 13000 KG, CARGA UTIL MAXIMA 7925 KG, DISTANCIA ENTRE EIXOS 4,80 M, POTENCIA 189 CV (INCLUI CABINE E CHASSI, NAO INCLUI CARROCERIA)</t>
  </si>
  <si>
    <t>PA CARREGADEIRA SOBRE RODAS, POTENCIA LIQUIDA 197 HP, CAPACIDADE DA CACAMBA DE 2,5 A 3,5 M3, PESO OPERACIONAL DE 18338 KG</t>
  </si>
  <si>
    <t>SINAPI</t>
  </si>
  <si>
    <t>CACAMBA METALICA BASCULANTE COM CAPACIDADE DE 6 M3 (INCLUI MONTAGEM, NÃO INCLUI CAMINHAO).</t>
  </si>
  <si>
    <t>VALOR RESIDUAL</t>
  </si>
  <si>
    <t>SINAPI: 4221</t>
  </si>
  <si>
    <t xml:space="preserve">RESUMO </t>
  </si>
  <si>
    <t>UND</t>
  </si>
  <si>
    <t>TOTALIZAÇÃO - MENSAL</t>
  </si>
  <si>
    <t>P1</t>
  </si>
  <si>
    <t xml:space="preserve"> Operação da Usina de Triagem e Compostagem da Asa Sul (UTMB ASA SUL)</t>
  </si>
  <si>
    <t>PREÇO DA PROPOSTA</t>
  </si>
  <si>
    <t>LOTE ÚNICO</t>
  </si>
  <si>
    <t>ITEM</t>
  </si>
  <si>
    <t>Preço Total</t>
  </si>
  <si>
    <t>Valor Mensal</t>
  </si>
  <si>
    <t>Valor Total 6 meses</t>
  </si>
  <si>
    <t>Acórdão 1179/2008 - Plenário "a reserva técnica tem sido considerada indevida por elevar os custos [da contratação] (...) Não há necessidade dessa condição para garantir a exequibilidade das propostas, pois o contrato pode fixar as obrigações do contrato, no caso, manter os postos de serviço sempre ocupados.  É possível ainda prever, no contrato, penalidade para o descumprimento da obrigação".</t>
  </si>
  <si>
    <t>‘a  jurisprudência  do  TCU  admite  pagamento de reserva técnica ,  desde  que  devidamente  motivado  com estudo específico e descrição dos eventos a que será destinado (Acórdãos 793/2010 e 1442/2010, da 2ª Câmara; 727/2009, 2060/2009, 1597/2010 e 3092/2010, do Plenário)’. Destacou  ainda  que,  conforme  a  orientação  do  TCU  em  seus acórdãos, ‘pelo risco de onerarem os custos dos serviços contratados, os valores relativos à parcela reserva técnica têm sido removidos, por meio de repactuação’</t>
  </si>
  <si>
    <t>É  indevida  a  inclusão  de  parcela  a  título  reserva  técnica  nas  planilhas  de  custos  e formação  de  preços  dos  contratos  de  limpeza  e  conservação,  sem  que  haja  justificativa  e  memória de cálculo que demonstrem sua adequação.</t>
  </si>
  <si>
    <t>TOTAL GERAL P/ 2,0 MOT</t>
  </si>
  <si>
    <t>TOTAL GERAL P/ 2,0 OPERADOR DE MAQUINAS</t>
  </si>
  <si>
    <t>TOTAL GERAL P/ 2,0 OP PAINEL</t>
  </si>
  <si>
    <t>TOTAL GERAL P/ 1,0 OP PAINEL NOTURNO</t>
  </si>
  <si>
    <t>TOTAL p/1,0 ORIENTADOR OPERACIONAL USINA</t>
  </si>
  <si>
    <t>TOTAL p/1,0 ORIENTADOR OP USINA NOTURNO</t>
  </si>
  <si>
    <t>TOTAL p/2,0 ELETRICISTA-DIURNO</t>
  </si>
  <si>
    <t>TOTAL p/1,0 ELETRICISTA NOTURNO</t>
  </si>
  <si>
    <t>TOTAL p/2,0 SOLDADOR-DIURNO</t>
  </si>
  <si>
    <t>TOTAL p/1,0 SOLDADOR NOTURNO</t>
  </si>
  <si>
    <t>TOTAL p/1,0 MECANICO NOTURNO</t>
  </si>
  <si>
    <t>SLU-DF</t>
  </si>
  <si>
    <t>DETALHAMENTO  DOS ENCARGOS SOCIAIS E TRABALHISTAS</t>
  </si>
  <si>
    <t>DATA</t>
  </si>
  <si>
    <t>Módulo 04 - ENCARGOS SOCIAIS E TRABALHISTAS</t>
  </si>
  <si>
    <t>Submódulo 4.1 - Encargos Previdenciários e FGTS</t>
  </si>
  <si>
    <t xml:space="preserve">01 - INSS (Art. 22, Inciso I, da Lei nº. 8.212/91) </t>
  </si>
  <si>
    <t>02 - SESI ou SESC (Art. 30 da Lei nº. 8.036/90)</t>
  </si>
  <si>
    <t>03 - SENAI ou SENAC (Decreto-Lei nº. 8.621/46, Lei nº. 2.318/86)</t>
  </si>
  <si>
    <t>04 - INCRA (Decreto-Lei nº 1.146/70, Lei nº. 2.613/55)</t>
  </si>
  <si>
    <t>05 - Salário Educação (Lei 9.424/96, 9.766/98, Decreto 6.003/06 e Art. 212 § 5º CF)</t>
  </si>
  <si>
    <t>06 - FGTS (Art. 15 da Lei nº 8.036/90, Art. 7º, § 3º da CF)</t>
  </si>
  <si>
    <t>07 - Riscos Ambientais do Trabalho - RAT  (Lei nº 8.212/91, Lei 10.666/03) (RAT x FAP)</t>
  </si>
  <si>
    <t xml:space="preserve">RAT </t>
  </si>
  <si>
    <t>FAP</t>
  </si>
  <si>
    <t xml:space="preserve">08 – SEBRAE (Lei nº 8.029/90, art. 8º, alterados pelas Leis nºs: 8.154/90 e 11.080/04) </t>
  </si>
  <si>
    <t>Total  Submódulo 4.1 - Encargos Previdenciários e FGTS</t>
  </si>
  <si>
    <t>Submódulo 4.2 - 13º Salário e Adicional de Férias</t>
  </si>
  <si>
    <t>Gratificação de Natal, instituída pela Lei nº 4.090, de 13 de julho de 1962.</t>
  </si>
  <si>
    <t xml:space="preserve">÷ </t>
  </si>
  <si>
    <t>Adicional de Férias</t>
  </si>
  <si>
    <t>Artigos 7º, XVII, da CF/88 e Arts. 129 a 153 da CLT.</t>
  </si>
  <si>
    <t>÷</t>
  </si>
  <si>
    <t xml:space="preserve">Incidência do sub módulo 4.1 </t>
  </si>
  <si>
    <t>x</t>
  </si>
  <si>
    <t>Total - Submódulo 4.2 - 13º Salário e Adicional de Férias</t>
  </si>
  <si>
    <t>Submódulo 4.3 - Afastamento Maternidade</t>
  </si>
  <si>
    <t>Férias Proporcionais relativas ao afastamento maternidade</t>
  </si>
  <si>
    <t>Art. 7º, Inciso XVIII da CF, Lei 8.212/91, 10.421/02</t>
  </si>
  <si>
    <t>Incidência do sub módulo 4.1 sobre as férias proporcionais</t>
  </si>
  <si>
    <t>Incidência do sub módulo 4.1 sobre o período de licença-maternidade</t>
  </si>
  <si>
    <t>Total - Submódulo 4.3 - Afastamento Maternidade</t>
  </si>
  <si>
    <t>Submódulo 4.4 - Provisão para Rescisão</t>
  </si>
  <si>
    <r>
      <t xml:space="preserve">Trata-se de valor devido ao empregado no caso de o empregador rescindir o contrato sem justo motivo e sem lhe conceder aviso prévio, conforme disposto no § 1º do art. 487 da CLT. Estima que </t>
    </r>
    <r>
      <rPr>
        <sz val="12"/>
        <color indexed="36"/>
        <rFont val="Arial Narrow"/>
        <family val="2"/>
      </rPr>
      <t>3,5%</t>
    </r>
    <r>
      <rPr>
        <sz val="12"/>
        <rFont val="Arial Narrow"/>
        <family val="2"/>
      </rPr>
      <t xml:space="preserve"> do pessoal é demitido pelo empregador, antes do término do contrato de trabalho</t>
    </r>
  </si>
  <si>
    <t>(</t>
  </si>
  <si>
    <t>)</t>
  </si>
  <si>
    <t>13º e Férias sobre aviso prévio indenizado</t>
  </si>
  <si>
    <t>+</t>
  </si>
  <si>
    <t>Incid. do submódulo. 4.1 sobre o reflexo do aviso prévio indenizado no 13º</t>
  </si>
  <si>
    <t>Multa do FGTS do aviso prévio indenizado</t>
  </si>
  <si>
    <t>Multa do FGTS (Indenização nas rescisões sem justa causa)</t>
  </si>
  <si>
    <t>Leis n.ºs 8.036/90 e 9.491/97 e Lei Complementar nº 110/01, considerando que ao término do contrato 100% dos empregados terão rescisões sem justa causa</t>
  </si>
  <si>
    <t>Indenização Adicional</t>
  </si>
  <si>
    <t>Refere-se à indenização de 1 salário para os profissionais que forem demitidos 1 mês antes da data-base</t>
  </si>
  <si>
    <t>Total - Submódulo 4.4 - Provisão para Rescisão</t>
  </si>
  <si>
    <t>Submódulo 4.5 - Reposição do Profissional Ausente</t>
  </si>
  <si>
    <t>Reposição relativa a Férias</t>
  </si>
  <si>
    <t>O título férias do Submódulo 4.5 refere-se ao provisonamento de 1/12 avos do salário mensal do posto para reposição da mão-de-obra na ocorrência do evento férias</t>
  </si>
  <si>
    <t>Ausência por doença</t>
  </si>
  <si>
    <r>
      <t xml:space="preserve">Esta parcela refere-se aos dias em que o empregado fica doente e a contratada deve providenciar sua substituição. Estimamos </t>
    </r>
    <r>
      <rPr>
        <sz val="12"/>
        <color indexed="36"/>
        <rFont val="Arial Narrow"/>
        <family val="2"/>
      </rPr>
      <t>4,14</t>
    </r>
    <r>
      <rPr>
        <sz val="12"/>
        <rFont val="Arial Narrow"/>
        <family val="2"/>
      </rPr>
      <t xml:space="preserve"> ausências, devendo-se converter esses dias em mês e depois dividi-lo pelo número de meses no ano.</t>
    </r>
  </si>
  <si>
    <t>Licença Paternidade</t>
  </si>
  <si>
    <r>
      <t xml:space="preserve">Criada pelo art. 7º, inciso XIX da CF, combinado com o art. 10, § 1º dos Atos das Disposições Constitucionais Transitórias - ADCT, concede ao empregado o direito de ausentar-se do serviço por cinco dias quando do nascimento do filho. De acordo com o IBGE, nascem filhos de </t>
    </r>
    <r>
      <rPr>
        <sz val="12"/>
        <color indexed="36"/>
        <rFont val="Arial Narrow"/>
        <family val="2"/>
      </rPr>
      <t>1,5%</t>
    </r>
    <r>
      <rPr>
        <sz val="12"/>
        <rFont val="Arial Narrow"/>
        <family val="2"/>
      </rPr>
      <t xml:space="preserve"> dos trabalhadores no período de um ano. Dessa forma a provisão para este item corresponde a:</t>
    </r>
  </si>
  <si>
    <t>Ausências Legais</t>
  </si>
  <si>
    <t>Ausências ao trabalho asseguradas ao empregado pelos artigos 473 e 822 da CLT (morte de cônjuge, ascendente, descendente, casamento, nascimento de filho, doação de sangue, alistamento eleitoral, serviço militar, comparecer à Juízo). Assim considerou-se em média 1 ausência por trabalhador no ano:</t>
  </si>
  <si>
    <t>Ausências por Acidente de Trabalho</t>
  </si>
  <si>
    <t>A Lei nº 8.213/1991, obriga o empregador a assumir ônus financeiro pelo prazo de 15 dias, no caso de acidente de trabalho.</t>
  </si>
  <si>
    <t>Aviso Prévio Trabalhado</t>
  </si>
  <si>
    <t>Artigos, 7º, XXI, da CF/88, Arts. 477, 487, 488 e 491 da CLT. Essa rubrica refere-se ao provisionamento a ser pago à empresa para que a mesma substitua o empregado que esteja cumprindo aviso prévio e sofra redução de 2 (duas) horas diárias em sua jornada de trabalho no mês de aviso prévio, ou opte por faltar ao serviço por 7 (sete) dias corridos, no caso de o empregador rescindir o contrato sem justo motivo e conceder aviso prévio</t>
  </si>
  <si>
    <t>Incidência do submódulo 4.1 sobre o Custo de Reposição</t>
  </si>
  <si>
    <t>Incidência do submódulos 4.2, 4.3 e 4.4 sobre o Custo de Reposição</t>
  </si>
  <si>
    <t>Total - Submódulo 4.5 - Reposição do Profissional Ausente</t>
  </si>
  <si>
    <t>QUADRO RESUMO MÓDULO 4 - ENCARGOS SOCIAIS E TRABALHISTAS</t>
  </si>
  <si>
    <t>Encargos Sociais e Trabalhistas</t>
  </si>
  <si>
    <t>Submódulo 4.2 - 13º Salário</t>
  </si>
  <si>
    <t>Total  Custo de Reposição</t>
  </si>
  <si>
    <t>COMPOSIÇÃO DE ENCARGOS SOCIAIS E TRABALHISTAS</t>
  </si>
  <si>
    <t>GRUPO "A" - ENCARGOS PREVIDENCIÁRIOS E FGTS</t>
  </si>
  <si>
    <t>GRUPO "B" - 13º SALÁRIO</t>
  </si>
  <si>
    <t>Adicional de férias</t>
  </si>
  <si>
    <t>Incidência do grupo A sobre o 13º salário</t>
  </si>
  <si>
    <t>GRUPO "C" - AFASTAMENTO MATERNIDADE</t>
  </si>
  <si>
    <t>Incidência do grupo A sobre as férias proporcionais</t>
  </si>
  <si>
    <t>Incidência do grupo A sobre  o afastamento maternidade</t>
  </si>
  <si>
    <t>GRUPO "D" - PROVISÃO PARA RESCISÃO</t>
  </si>
  <si>
    <t xml:space="preserve">D.2. - </t>
  </si>
  <si>
    <t>13º Salário e Férias sobre o aviso prévio indenizado</t>
  </si>
  <si>
    <t xml:space="preserve">D.3. - </t>
  </si>
  <si>
    <t>Incidência do grupo A sobre o reflexo do aviso prévio indenizado no 13º</t>
  </si>
  <si>
    <t xml:space="preserve">D.4. - </t>
  </si>
  <si>
    <t xml:space="preserve">D.5. - </t>
  </si>
  <si>
    <t xml:space="preserve">D.6. - </t>
  </si>
  <si>
    <t>Indenização adicional</t>
  </si>
  <si>
    <t>GRUPO "E" - CUSTO DE REPOSIÇÃO DO PROFISSIONAL AUSENTE</t>
  </si>
  <si>
    <t xml:space="preserve">E.1. - </t>
  </si>
  <si>
    <t xml:space="preserve">E.2. - </t>
  </si>
  <si>
    <t xml:space="preserve">E.3. - </t>
  </si>
  <si>
    <t xml:space="preserve">E.4. - </t>
  </si>
  <si>
    <t>Ausência Legais</t>
  </si>
  <si>
    <t xml:space="preserve">E.5. - </t>
  </si>
  <si>
    <t>Ausência por Acidente de Trabalho</t>
  </si>
  <si>
    <t xml:space="preserve">E.6. - </t>
  </si>
  <si>
    <t>Aviso Prévio Trabahado</t>
  </si>
  <si>
    <t xml:space="preserve">E.7. - </t>
  </si>
  <si>
    <t>Incidência do grupo A sobre o custo de reposição</t>
  </si>
  <si>
    <t xml:space="preserve">E.8. - </t>
  </si>
  <si>
    <t>Incidência do grupo B, C e D sobre o custo de reposição</t>
  </si>
  <si>
    <t>PLANO DE SAÚDE</t>
  </si>
  <si>
    <t>Total Custos Indiretos</t>
  </si>
  <si>
    <t>Tributos</t>
  </si>
  <si>
    <t>ISS</t>
  </si>
  <si>
    <t>PIS</t>
  </si>
  <si>
    <t>COFINS</t>
  </si>
  <si>
    <t>Total Custos TRIBUTOS</t>
  </si>
  <si>
    <t>Despesas Administrativas/Operacionais</t>
  </si>
  <si>
    <t>Lucro</t>
  </si>
  <si>
    <t>PREÇO TOTAL MENSAL DO SERVIÇO C/IMPOSTO (R$/MÊS)</t>
  </si>
  <si>
    <t>Custos diretos</t>
  </si>
  <si>
    <t>PLANO DE SAÚDE + ODONTOLÓGICO</t>
  </si>
  <si>
    <t>VALE TRANSPORTE + ODONTOLÓGICO</t>
  </si>
  <si>
    <t>Valor Unitário (praticado)</t>
  </si>
  <si>
    <t>Operador de Máquina Noturno</t>
  </si>
  <si>
    <t>REMUNERAÇÃO DO OPERADOR DE MAQUINA - NOTURNO</t>
  </si>
  <si>
    <r>
      <t>2 - Adicionais (</t>
    </r>
    <r>
      <rPr>
        <b/>
        <sz val="8"/>
        <rFont val="Arial"/>
        <family val="2"/>
      </rPr>
      <t>insalubridade grau médio 20%</t>
    </r>
    <r>
      <rPr>
        <sz val="8"/>
        <rFont val="Arial"/>
        <family val="2"/>
      </rPr>
      <t>)</t>
    </r>
  </si>
  <si>
    <t>Operador de Máquina Diurno e Noturno</t>
  </si>
  <si>
    <t>Encarregado Noturno</t>
  </si>
  <si>
    <t>Técnico de Segurança do Trabalho Diurno</t>
  </si>
  <si>
    <t>REMUNERAÇÃO DO TÉCNICO DE SEGURANÇA NO TRABALHO - DIURNO</t>
  </si>
  <si>
    <t>REMUNERAÇÃO DO TÉCNICO DE SEGURANÇA NO TRABALHO - NOTURNO</t>
  </si>
  <si>
    <t>TOTAL GERAL P/ 1 TÉC. SEG. DIURNO</t>
  </si>
  <si>
    <t>TOTAL GERAL P/ 0 AUXILIAR ADMINISTRATIVO</t>
  </si>
  <si>
    <t>Técnico de Segurança do Trabalho Noturno</t>
  </si>
  <si>
    <t>TOTAL p/ 12 SERVENTE</t>
  </si>
  <si>
    <t>TOTAL p/ 4 SERVENTE NOTURNO</t>
  </si>
  <si>
    <t>TOTAL p/ 4,0 AUXILIAR DE MANUTENÇÃO-DIURNO</t>
  </si>
  <si>
    <t>TOTAL p/ 2,0 AUXILIAR DE MANUTENÇÃO NOTURNO</t>
  </si>
  <si>
    <t>TOTAL p/ 4,0 MECANICO-DIURNO</t>
  </si>
  <si>
    <t>Técnico de Segurança no Trabalhol Diurno</t>
  </si>
  <si>
    <t>Técnico de Segurança no Trabalho Noturno</t>
  </si>
  <si>
    <t>IPCA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</si>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</sst>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.0%"/>
    <numFmt numFmtId="168" formatCode="_(* #,##0.0_);_(* \(#,##0.0\);_(* &quot;-&quot;??_);_(@_)"/>
    <numFmt numFmtId="169" formatCode="_(* #,##0_);_(* \(#,##0\);_(* &quot;-&quot;??_);_(@_)"/>
    <numFmt numFmtId="170" formatCode="_(&quot;Cr$&quot;* #,##0_);_(&quot;Cr$&quot;* \(#,##0\);_(&quot;Cr$&quot;* &quot;-&quot;_);_(@_)"/>
    <numFmt numFmtId="171" formatCode="_(* #,##0.0000_);_(* \(#,##0.0000\);_(* &quot;-&quot;??_);_(@_)"/>
    <numFmt numFmtId="172" formatCode="#,##0&quot; meses&quot;"/>
    <numFmt numFmtId="173" formatCode="#,##0.00&quot; km/l&quot;"/>
    <numFmt numFmtId="174" formatCode="#,##0.00&quot; km&quot;"/>
    <numFmt numFmtId="175" formatCode="#,##0.00&quot; t/mês&quot;"/>
    <numFmt numFmtId="176" formatCode="#,##0.00&quot; h&quot;"/>
    <numFmt numFmtId="177" formatCode="#,##0.00&quot; veículos&quot;"/>
    <numFmt numFmtId="178" formatCode="#,##0.00&quot; km/dia&quot;"/>
    <numFmt numFmtId="179" formatCode="#,##0.00&quot; veículo&quot;"/>
    <numFmt numFmtId="180" formatCode="#,##0.00&quot; homens&quot;"/>
    <numFmt numFmtId="181" formatCode="#,##0.00000&quot; l/km&quot;"/>
    <numFmt numFmtId="182" formatCode="#,##0.00000&quot; kg/km&quot;"/>
    <numFmt numFmtId="183" formatCode="_(* #,##0.00000_);_(* \(#,##0.00000\);_(* &quot;-&quot;??_);_(@_)"/>
    <numFmt numFmtId="184" formatCode="#,##0.00&quot; h/dia&quot;"/>
    <numFmt numFmtId="185" formatCode="#,##0.00&quot; unidade&quot;"/>
    <numFmt numFmtId="186" formatCode="#,##0.00&quot; l/h&quot;"/>
    <numFmt numFmtId="187" formatCode="#,##0.00000&quot; l/h&quot;"/>
    <numFmt numFmtId="188" formatCode="#,##0.00000&quot; kg/h&quot;"/>
    <numFmt numFmtId="189" formatCode="d\-mmm\-yy"/>
    <numFmt numFmtId="190" formatCode="mmm\-yy"/>
    <numFmt numFmtId="191" formatCode="#,##0.00_ ;[Red]\-#,##0.00\ "/>
    <numFmt numFmtId="192" formatCode="&quot;R$&quot;#,##0.00"/>
    <numFmt numFmtId="193" formatCode="&quot;R$&quot;\ #,##0.00"/>
    <numFmt numFmtId="194" formatCode="[$-F800]dddd\,\ mmmm\ dd\,\ yyyy"/>
    <numFmt numFmtId="195" formatCode="#,##0&quot; anos&quot;"/>
    <numFmt numFmtId="196" formatCode="0.000%"/>
    <numFmt numFmtId="197" formatCode="0.0000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u/>
      <sz val="12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3"/>
      <name val="Arial"/>
      <family val="2"/>
    </font>
    <font>
      <sz val="12"/>
      <name val="Arial Narrow"/>
      <family val="2"/>
    </font>
    <font>
      <b/>
      <u/>
      <sz val="8"/>
      <name val="Arial"/>
      <family val="2"/>
    </font>
    <font>
      <b/>
      <sz val="12"/>
      <name val="Arial Narrow"/>
      <family val="2"/>
    </font>
    <font>
      <sz val="12"/>
      <name val="Times New Roman"/>
      <family val="1"/>
    </font>
    <font>
      <sz val="12"/>
      <color indexed="36"/>
      <name val="Arial Narrow"/>
      <family val="2"/>
    </font>
    <font>
      <sz val="12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FAB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22"/>
      </left>
      <right/>
      <top style="hair">
        <color indexed="22"/>
      </top>
      <bottom style="hair">
        <color indexed="22"/>
      </bottom>
      <diagonal/>
    </border>
    <border>
      <left style="double">
        <color indexed="22"/>
      </left>
      <right style="thin">
        <color indexed="22"/>
      </right>
      <top/>
      <bottom style="hair">
        <color indexed="22"/>
      </bottom>
      <diagonal/>
    </border>
    <border>
      <left style="double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double">
        <color indexed="22"/>
      </left>
      <right/>
      <top style="hair">
        <color indexed="22"/>
      </top>
      <bottom/>
      <diagonal/>
    </border>
    <border>
      <left style="double">
        <color indexed="22"/>
      </left>
      <right/>
      <top style="medium">
        <color indexed="22"/>
      </top>
      <bottom style="medium">
        <color indexed="22"/>
      </bottom>
      <diagonal/>
    </border>
    <border>
      <left style="double">
        <color indexed="22"/>
      </left>
      <right style="thin">
        <color indexed="22"/>
      </right>
      <top style="medium">
        <color indexed="22"/>
      </top>
      <bottom style="hair">
        <color indexed="22"/>
      </bottom>
      <diagonal/>
    </border>
    <border>
      <left style="double">
        <color indexed="22"/>
      </left>
      <right style="thin">
        <color indexed="22"/>
      </right>
      <top style="hair">
        <color indexed="22"/>
      </top>
      <bottom style="medium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double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double">
        <color indexed="22"/>
      </left>
      <right/>
      <top/>
      <bottom/>
      <diagonal/>
    </border>
    <border>
      <left/>
      <right style="double">
        <color indexed="2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double">
        <color indexed="22"/>
      </right>
      <top style="hair">
        <color indexed="22"/>
      </top>
      <bottom style="hair">
        <color indexed="22"/>
      </bottom>
      <diagonal/>
    </border>
    <border>
      <left style="double">
        <color indexed="22"/>
      </left>
      <right style="thin">
        <color indexed="22"/>
      </right>
      <top style="hair">
        <color indexed="22"/>
      </top>
      <bottom/>
      <diagonal/>
    </border>
    <border>
      <left style="thin">
        <color indexed="22"/>
      </left>
      <right style="thin">
        <color indexed="22"/>
      </right>
      <top style="hair">
        <color indexed="22"/>
      </top>
      <bottom/>
      <diagonal/>
    </border>
    <border>
      <left style="thin">
        <color indexed="22"/>
      </left>
      <right style="thin">
        <color indexed="22"/>
      </right>
      <top style="hair">
        <color indexed="22"/>
      </top>
      <bottom style="medium">
        <color indexed="22"/>
      </bottom>
      <diagonal/>
    </border>
    <border>
      <left style="thin">
        <color indexed="22"/>
      </left>
      <right style="double">
        <color indexed="22"/>
      </right>
      <top style="hair">
        <color indexed="22"/>
      </top>
      <bottom style="medium">
        <color indexed="22"/>
      </bottom>
      <diagonal/>
    </border>
    <border>
      <left style="double">
        <color indexed="22"/>
      </left>
      <right/>
      <top/>
      <bottom style="double">
        <color indexed="22"/>
      </bottom>
      <diagonal/>
    </border>
    <border>
      <left/>
      <right/>
      <top/>
      <bottom style="double">
        <color indexed="22"/>
      </bottom>
      <diagonal/>
    </border>
    <border>
      <left/>
      <right/>
      <top style="medium">
        <color indexed="22"/>
      </top>
      <bottom style="double">
        <color indexed="22"/>
      </bottom>
      <diagonal/>
    </border>
    <border>
      <left/>
      <right style="double">
        <color indexed="22"/>
      </right>
      <top style="medium">
        <color indexed="22"/>
      </top>
      <bottom style="double">
        <color indexed="22"/>
      </bottom>
      <diagonal/>
    </border>
    <border>
      <left/>
      <right/>
      <top style="double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thin">
        <color indexed="22"/>
      </left>
      <right/>
      <top style="hair">
        <color indexed="22"/>
      </top>
      <bottom style="medium">
        <color indexed="22"/>
      </bottom>
      <diagonal/>
    </border>
    <border>
      <left/>
      <right style="double">
        <color indexed="22"/>
      </right>
      <top style="hair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double">
        <color indexed="22"/>
      </right>
      <top style="medium">
        <color indexed="22"/>
      </top>
      <bottom style="medium">
        <color indexed="22"/>
      </bottom>
      <diagonal/>
    </border>
    <border>
      <left style="double">
        <color indexed="22"/>
      </left>
      <right/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hair">
        <color indexed="22"/>
      </bottom>
      <diagonal/>
    </border>
    <border>
      <left style="thin">
        <color indexed="22"/>
      </left>
      <right style="double">
        <color indexed="22"/>
      </right>
      <top style="medium">
        <color indexed="22"/>
      </top>
      <bottom style="hair">
        <color indexed="22"/>
      </bottom>
      <diagonal/>
    </border>
    <border>
      <left style="thin">
        <color indexed="22"/>
      </left>
      <right style="double">
        <color indexed="22"/>
      </right>
      <top style="hair">
        <color indexed="22"/>
      </top>
      <bottom/>
      <diagonal/>
    </border>
    <border>
      <left/>
      <right style="thin">
        <color indexed="22"/>
      </right>
      <top style="hair">
        <color indexed="22"/>
      </top>
      <bottom/>
      <diagonal/>
    </border>
    <border>
      <left style="thin">
        <color indexed="22"/>
      </left>
      <right/>
      <top style="hair">
        <color indexed="22"/>
      </top>
      <bottom/>
      <diagonal/>
    </border>
    <border>
      <left/>
      <right style="double">
        <color indexed="22"/>
      </right>
      <top style="hair">
        <color indexed="22"/>
      </top>
      <bottom/>
      <diagonal/>
    </border>
    <border>
      <left style="double">
        <color indexed="22"/>
      </left>
      <right/>
      <top style="medium">
        <color indexed="22"/>
      </top>
      <bottom style="hair">
        <color indexed="22"/>
      </bottom>
      <diagonal/>
    </border>
    <border>
      <left/>
      <right/>
      <top style="medium">
        <color indexed="22"/>
      </top>
      <bottom style="hair">
        <color indexed="22"/>
      </bottom>
      <diagonal/>
    </border>
    <border>
      <left/>
      <right style="thin">
        <color indexed="22"/>
      </right>
      <top style="medium">
        <color indexed="22"/>
      </top>
      <bottom style="hair">
        <color indexed="22"/>
      </bottom>
      <diagonal/>
    </border>
    <border>
      <left style="thin">
        <color indexed="22"/>
      </left>
      <right/>
      <top style="medium">
        <color indexed="22"/>
      </top>
      <bottom style="hair">
        <color indexed="22"/>
      </bottom>
      <diagonal/>
    </border>
    <border>
      <left/>
      <right style="double">
        <color indexed="22"/>
      </right>
      <top style="medium">
        <color indexed="22"/>
      </top>
      <bottom style="hair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hair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double">
        <color indexed="22"/>
      </right>
      <top/>
      <bottom style="medium">
        <color indexed="22"/>
      </bottom>
      <diagonal/>
    </border>
    <border>
      <left style="thin">
        <color indexed="22"/>
      </left>
      <right style="double">
        <color indexed="22"/>
      </right>
      <top/>
      <bottom style="hair">
        <color indexed="22"/>
      </bottom>
      <diagonal/>
    </border>
    <border>
      <left style="double">
        <color indexed="22"/>
      </left>
      <right style="thin">
        <color indexed="22"/>
      </right>
      <top/>
      <bottom style="medium">
        <color indexed="22"/>
      </bottom>
      <diagonal/>
    </border>
    <border>
      <left style="double">
        <color indexed="22"/>
      </left>
      <right/>
      <top style="double">
        <color indexed="22"/>
      </top>
      <bottom style="medium">
        <color indexed="22"/>
      </bottom>
      <diagonal/>
    </border>
    <border>
      <left/>
      <right/>
      <top style="double">
        <color indexed="22"/>
      </top>
      <bottom style="medium">
        <color indexed="22"/>
      </bottom>
      <diagonal/>
    </border>
    <border>
      <left/>
      <right style="double">
        <color indexed="22"/>
      </right>
      <top style="double">
        <color indexed="22"/>
      </top>
      <bottom style="medium">
        <color indexed="22"/>
      </bottom>
      <diagonal/>
    </border>
    <border>
      <left style="double">
        <color indexed="22"/>
      </left>
      <right/>
      <top style="thin">
        <color indexed="22"/>
      </top>
      <bottom style="medium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/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double">
        <color indexed="22"/>
      </left>
      <right/>
      <top style="hair">
        <color indexed="22"/>
      </top>
      <bottom style="medium">
        <color indexed="22"/>
      </bottom>
      <diagonal/>
    </border>
    <border>
      <left/>
      <right/>
      <top style="hair">
        <color indexed="22"/>
      </top>
      <bottom style="medium">
        <color indexed="22"/>
      </bottom>
      <diagonal/>
    </border>
    <border>
      <left/>
      <right style="thin">
        <color indexed="22"/>
      </right>
      <top style="hair">
        <color indexed="22"/>
      </top>
      <bottom style="medium">
        <color indexed="22"/>
      </bottom>
      <diagonal/>
    </border>
    <border>
      <left/>
      <right style="double">
        <color indexed="22"/>
      </right>
      <top style="thin">
        <color indexed="22"/>
      </top>
      <bottom style="medium">
        <color indexed="22"/>
      </bottom>
      <diagonal/>
    </border>
    <border>
      <left/>
      <right style="double">
        <color theme="0" tint="-0.14996795556505021"/>
      </right>
      <top style="hair">
        <color indexed="22"/>
      </top>
      <bottom style="hair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 tint="-0.14996795556505021"/>
      </left>
      <right style="double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22"/>
      </left>
      <right/>
      <top style="hair">
        <color theme="0" tint="-0.14996795556505021"/>
      </top>
      <bottom style="hair">
        <color indexed="22"/>
      </bottom>
      <diagonal/>
    </border>
    <border>
      <left/>
      <right style="double">
        <color theme="0" tint="-0.14996795556505021"/>
      </right>
      <top style="hair">
        <color theme="0" tint="-0.14996795556505021"/>
      </top>
      <bottom style="hair">
        <color indexed="22"/>
      </bottom>
      <diagonal/>
    </border>
    <border>
      <left style="thin">
        <color indexed="22"/>
      </left>
      <right/>
      <top style="hair">
        <color indexed="22"/>
      </top>
      <bottom style="hair">
        <color theme="0" tint="-0.14996795556505021"/>
      </bottom>
      <diagonal/>
    </border>
    <border>
      <left/>
      <right style="double">
        <color theme="0" tint="-0.14996795556505021"/>
      </right>
      <top style="hair">
        <color indexed="22"/>
      </top>
      <bottom style="hair">
        <color theme="0" tint="-0.14996795556505021"/>
      </bottom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26" fillId="0" borderId="0"/>
    <xf numFmtId="0" fontId="2" fillId="0" borderId="0">
      <alignment vertical="center"/>
    </xf>
    <xf numFmtId="0" fontId="3" fillId="0" borderId="0"/>
    <xf numFmtId="0" fontId="7" fillId="0" borderId="0"/>
    <xf numFmtId="0" fontId="7" fillId="0" borderId="0"/>
    <xf numFmtId="0" fontId="2" fillId="0" borderId="0">
      <alignment vertical="center"/>
    </xf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2" fillId="0" borderId="0" applyFont="0" applyFill="0" applyBorder="0" applyAlignment="0" applyProtection="0"/>
  </cellStyleXfs>
  <cellXfs count="96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6" fontId="3" fillId="0" borderId="5" xfId="28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6" xfId="28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66" fontId="3" fillId="0" borderId="8" xfId="28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0" xfId="7"/>
    <xf numFmtId="0" fontId="3" fillId="0" borderId="0" xfId="7" applyFont="1"/>
    <xf numFmtId="10" fontId="3" fillId="0" borderId="0" xfId="22" applyNumberFormat="1" applyFont="1"/>
    <xf numFmtId="166" fontId="3" fillId="0" borderId="0" xfId="29" applyFont="1"/>
    <xf numFmtId="166" fontId="3" fillId="0" borderId="0" xfId="29" applyFont="1" applyBorder="1"/>
    <xf numFmtId="10" fontId="3" fillId="0" borderId="0" xfId="22" applyNumberFormat="1" applyFont="1" applyBorder="1"/>
    <xf numFmtId="166" fontId="3" fillId="0" borderId="11" xfId="29" applyFont="1" applyBorder="1"/>
    <xf numFmtId="166" fontId="3" fillId="0" borderId="12" xfId="29" applyFont="1" applyFill="1" applyBorder="1"/>
    <xf numFmtId="166" fontId="3" fillId="0" borderId="2" xfId="29" applyFont="1" applyBorder="1"/>
    <xf numFmtId="166" fontId="3" fillId="0" borderId="0" xfId="29" applyFont="1" applyFill="1" applyBorder="1"/>
    <xf numFmtId="0" fontId="3" fillId="0" borderId="0" xfId="12" applyFont="1"/>
    <xf numFmtId="0" fontId="3" fillId="0" borderId="0" xfId="12"/>
    <xf numFmtId="0" fontId="3" fillId="0" borderId="13" xfId="12" applyFont="1" applyBorder="1" applyAlignment="1">
      <alignment horizontal="left" vertical="center"/>
    </xf>
    <xf numFmtId="0" fontId="5" fillId="0" borderId="0" xfId="12" applyFont="1" applyBorder="1" applyAlignment="1">
      <alignment vertical="center"/>
    </xf>
    <xf numFmtId="166" fontId="5" fillId="0" borderId="0" xfId="29" applyFont="1" applyBorder="1" applyAlignment="1">
      <alignment vertical="center"/>
    </xf>
    <xf numFmtId="166" fontId="3" fillId="0" borderId="13" xfId="29" applyFont="1" applyBorder="1" applyAlignment="1">
      <alignment horizontal="left" vertical="center"/>
    </xf>
    <xf numFmtId="0" fontId="5" fillId="0" borderId="0" xfId="12" applyFont="1" applyBorder="1" applyAlignment="1">
      <alignment horizontal="center" vertical="center"/>
    </xf>
    <xf numFmtId="0" fontId="3" fillId="0" borderId="0" xfId="12" applyFont="1" applyBorder="1" applyAlignment="1">
      <alignment horizontal="left" vertical="center"/>
    </xf>
    <xf numFmtId="9" fontId="3" fillId="0" borderId="0" xfId="22" applyFont="1" applyBorder="1" applyAlignment="1">
      <alignment vertical="center"/>
    </xf>
    <xf numFmtId="0" fontId="5" fillId="0" borderId="13" xfId="12" applyFont="1" applyBorder="1" applyAlignment="1">
      <alignment horizontal="center" vertical="center"/>
    </xf>
    <xf numFmtId="166" fontId="3" fillId="0" borderId="0" xfId="29" applyFont="1" applyBorder="1" applyAlignment="1">
      <alignment vertical="center"/>
    </xf>
    <xf numFmtId="0" fontId="3" fillId="0" borderId="0" xfId="12" applyFont="1" applyBorder="1"/>
    <xf numFmtId="0" fontId="5" fillId="0" borderId="0" xfId="12" applyFont="1" applyAlignment="1">
      <alignment horizontal="left"/>
    </xf>
    <xf numFmtId="0" fontId="5" fillId="0" borderId="0" xfId="12" applyFont="1" applyBorder="1" applyAlignment="1">
      <alignment horizontal="left" vertical="center"/>
    </xf>
    <xf numFmtId="0" fontId="3" fillId="0" borderId="0" xfId="12" applyFont="1" applyAlignment="1">
      <alignment horizontal="left"/>
    </xf>
    <xf numFmtId="166" fontId="3" fillId="0" borderId="0" xfId="12" applyNumberFormat="1"/>
    <xf numFmtId="166" fontId="5" fillId="0" borderId="0" xfId="29" applyFont="1" applyBorder="1"/>
    <xf numFmtId="0" fontId="5" fillId="0" borderId="13" xfId="7" applyFont="1" applyBorder="1" applyAlignment="1">
      <alignment horizontal="center" vertical="center" wrapText="1"/>
    </xf>
    <xf numFmtId="0" fontId="5" fillId="0" borderId="14" xfId="12" applyFont="1" applyBorder="1" applyAlignment="1">
      <alignment horizontal="left" vertical="center"/>
    </xf>
    <xf numFmtId="0" fontId="8" fillId="0" borderId="15" xfId="12" applyFont="1" applyBorder="1" applyAlignment="1">
      <alignment horizontal="left" vertical="center"/>
    </xf>
    <xf numFmtId="0" fontId="5" fillId="0" borderId="15" xfId="12" applyFont="1" applyBorder="1" applyAlignment="1">
      <alignment horizontal="left" vertical="center"/>
    </xf>
    <xf numFmtId="0" fontId="5" fillId="0" borderId="0" xfId="12" quotePrefix="1" applyFont="1" applyBorder="1" applyAlignment="1">
      <alignment horizontal="center" vertical="center"/>
    </xf>
    <xf numFmtId="166" fontId="5" fillId="0" borderId="0" xfId="12" applyNumberFormat="1" applyFont="1" applyBorder="1" applyAlignment="1">
      <alignment horizontal="center" vertical="center"/>
    </xf>
    <xf numFmtId="0" fontId="5" fillId="0" borderId="13" xfId="12" applyFont="1" applyBorder="1" applyAlignment="1">
      <alignment horizontal="left" vertical="center" wrapText="1"/>
    </xf>
    <xf numFmtId="166" fontId="3" fillId="0" borderId="13" xfId="29" applyNumberFormat="1" applyFont="1" applyBorder="1" applyAlignment="1">
      <alignment horizontal="left" vertical="center"/>
    </xf>
    <xf numFmtId="0" fontId="3" fillId="0" borderId="13" xfId="12" applyFont="1" applyBorder="1" applyAlignment="1">
      <alignment horizontal="left" vertical="center" wrapText="1"/>
    </xf>
    <xf numFmtId="9" fontId="3" fillId="0" borderId="13" xfId="29" applyNumberFormat="1" applyFont="1" applyBorder="1" applyAlignment="1">
      <alignment horizontal="center" vertical="center"/>
    </xf>
    <xf numFmtId="0" fontId="3" fillId="0" borderId="0" xfId="12" applyAlignment="1">
      <alignment horizontal="left"/>
    </xf>
    <xf numFmtId="0" fontId="3" fillId="0" borderId="16" xfId="12" applyBorder="1"/>
    <xf numFmtId="0" fontId="3" fillId="0" borderId="0" xfId="12" applyFont="1" applyBorder="1" applyAlignment="1">
      <alignment horizontal="center"/>
    </xf>
    <xf numFmtId="176" fontId="3" fillId="0" borderId="0" xfId="12" applyNumberFormat="1" applyFont="1" applyBorder="1" applyAlignment="1">
      <alignment horizontal="center" vertical="center" wrapText="1"/>
    </xf>
    <xf numFmtId="0" fontId="3" fillId="0" borderId="0" xfId="12" applyBorder="1"/>
    <xf numFmtId="0" fontId="8" fillId="0" borderId="17" xfId="12" applyFont="1" applyBorder="1" applyAlignment="1">
      <alignment horizontal="left"/>
    </xf>
    <xf numFmtId="0" fontId="3" fillId="0" borderId="18" xfId="12" applyBorder="1" applyAlignment="1">
      <alignment horizontal="left"/>
    </xf>
    <xf numFmtId="0" fontId="3" fillId="0" borderId="11" xfId="12" applyBorder="1"/>
    <xf numFmtId="0" fontId="5" fillId="0" borderId="17" xfId="12" applyFont="1" applyBorder="1" applyAlignment="1">
      <alignment horizontal="left"/>
    </xf>
    <xf numFmtId="0" fontId="5" fillId="0" borderId="18" xfId="12" applyFont="1" applyBorder="1" applyAlignment="1">
      <alignment horizontal="left"/>
    </xf>
    <xf numFmtId="0" fontId="3" fillId="0" borderId="13" xfId="12" applyFont="1" applyBorder="1"/>
    <xf numFmtId="166" fontId="3" fillId="0" borderId="13" xfId="29" applyFont="1" applyBorder="1"/>
    <xf numFmtId="0" fontId="3" fillId="0" borderId="17" xfId="12" applyFont="1" applyBorder="1" applyAlignment="1">
      <alignment horizontal="left"/>
    </xf>
    <xf numFmtId="177" fontId="5" fillId="0" borderId="0" xfId="29" applyNumberFormat="1" applyFont="1" applyBorder="1" applyAlignment="1">
      <alignment horizontal="center" vertical="center"/>
    </xf>
    <xf numFmtId="0" fontId="3" fillId="0" borderId="19" xfId="12" applyBorder="1" applyAlignment="1">
      <alignment horizontal="left"/>
    </xf>
    <xf numFmtId="177" fontId="5" fillId="0" borderId="11" xfId="29" applyNumberFormat="1" applyFont="1" applyBorder="1" applyAlignment="1">
      <alignment horizontal="center" vertical="center"/>
    </xf>
    <xf numFmtId="0" fontId="3" fillId="0" borderId="20" xfId="12" applyBorder="1"/>
    <xf numFmtId="16" fontId="3" fillId="0" borderId="0" xfId="12" applyNumberFormat="1" applyFont="1" applyBorder="1" applyAlignment="1">
      <alignment horizontal="center"/>
    </xf>
    <xf numFmtId="0" fontId="3" fillId="0" borderId="12" xfId="12" applyFont="1" applyBorder="1"/>
    <xf numFmtId="166" fontId="3" fillId="0" borderId="12" xfId="29" applyFont="1" applyBorder="1"/>
    <xf numFmtId="0" fontId="5" fillId="0" borderId="19" xfId="12" applyFont="1" applyBorder="1" applyAlignment="1">
      <alignment horizontal="left"/>
    </xf>
    <xf numFmtId="10" fontId="3" fillId="0" borderId="19" xfId="22" applyNumberFormat="1" applyFont="1" applyBorder="1" applyAlignment="1">
      <alignment horizontal="center" vertical="center"/>
    </xf>
    <xf numFmtId="0" fontId="3" fillId="0" borderId="18" xfId="12" applyBorder="1"/>
    <xf numFmtId="178" fontId="3" fillId="0" borderId="13" xfId="29" applyNumberFormat="1" applyFont="1" applyBorder="1" applyAlignment="1">
      <alignment horizontal="center" vertical="center"/>
    </xf>
    <xf numFmtId="179" fontId="5" fillId="0" borderId="13" xfId="29" applyNumberFormat="1" applyFont="1" applyBorder="1" applyAlignment="1">
      <alignment horizontal="center" vertical="center"/>
    </xf>
    <xf numFmtId="0" fontId="3" fillId="0" borderId="7" xfId="12" applyBorder="1"/>
    <xf numFmtId="0" fontId="5" fillId="2" borderId="17" xfId="12" applyFont="1" applyFill="1" applyBorder="1" applyAlignment="1">
      <alignment horizontal="left" vertical="center"/>
    </xf>
    <xf numFmtId="0" fontId="3" fillId="2" borderId="19" xfId="12" applyFont="1" applyFill="1" applyBorder="1" applyAlignment="1">
      <alignment horizontal="left" vertical="center"/>
    </xf>
    <xf numFmtId="0" fontId="3" fillId="2" borderId="19" xfId="12" applyFont="1" applyFill="1" applyBorder="1" applyAlignment="1">
      <alignment horizontal="left"/>
    </xf>
    <xf numFmtId="166" fontId="3" fillId="2" borderId="19" xfId="29" applyFont="1" applyFill="1" applyBorder="1" applyAlignment="1">
      <alignment vertical="center"/>
    </xf>
    <xf numFmtId="0" fontId="3" fillId="2" borderId="19" xfId="12" applyFont="1" applyFill="1" applyBorder="1" applyAlignment="1">
      <alignment horizontal="center" vertical="center"/>
    </xf>
    <xf numFmtId="166" fontId="3" fillId="2" borderId="18" xfId="29" applyFont="1" applyFill="1" applyBorder="1"/>
    <xf numFmtId="0" fontId="8" fillId="0" borderId="0" xfId="12" applyFont="1" applyBorder="1" applyAlignment="1">
      <alignment horizontal="left" vertical="center"/>
    </xf>
    <xf numFmtId="0" fontId="3" fillId="0" borderId="0" xfId="12" applyFont="1" applyBorder="1" applyAlignment="1">
      <alignment horizontal="center" vertical="center"/>
    </xf>
    <xf numFmtId="180" fontId="3" fillId="0" borderId="0" xfId="12" applyNumberFormat="1" applyFont="1" applyBorder="1" applyAlignment="1">
      <alignment horizontal="center" vertical="center" wrapText="1"/>
    </xf>
    <xf numFmtId="0" fontId="5" fillId="0" borderId="17" xfId="12" applyFont="1" applyBorder="1" applyAlignment="1">
      <alignment horizontal="center"/>
    </xf>
    <xf numFmtId="0" fontId="5" fillId="0" borderId="13" xfId="12" applyFont="1" applyBorder="1" applyAlignment="1">
      <alignment horizontal="center"/>
    </xf>
    <xf numFmtId="2" fontId="5" fillId="0" borderId="13" xfId="12" applyNumberFormat="1" applyFont="1" applyBorder="1" applyAlignment="1">
      <alignment horizontal="center"/>
    </xf>
    <xf numFmtId="166" fontId="3" fillId="0" borderId="0" xfId="12" applyNumberFormat="1" applyFont="1"/>
    <xf numFmtId="0" fontId="5" fillId="2" borderId="19" xfId="12" applyFont="1" applyFill="1" applyBorder="1" applyAlignment="1">
      <alignment horizontal="left" vertical="center"/>
    </xf>
    <xf numFmtId="0" fontId="3" fillId="2" borderId="19" xfId="12" applyFont="1" applyFill="1" applyBorder="1"/>
    <xf numFmtId="0" fontId="3" fillId="2" borderId="18" xfId="12" applyFont="1" applyFill="1" applyBorder="1"/>
    <xf numFmtId="165" fontId="5" fillId="2" borderId="13" xfId="5" applyFont="1" applyFill="1" applyBorder="1"/>
    <xf numFmtId="165" fontId="5" fillId="0" borderId="0" xfId="5" applyFont="1" applyBorder="1"/>
    <xf numFmtId="0" fontId="5" fillId="3" borderId="17" xfId="12" applyFont="1" applyFill="1" applyBorder="1" applyAlignment="1">
      <alignment horizontal="left"/>
    </xf>
    <xf numFmtId="0" fontId="5" fillId="3" borderId="19" xfId="12" applyFont="1" applyFill="1" applyBorder="1" applyAlignment="1">
      <alignment horizontal="left"/>
    </xf>
    <xf numFmtId="0" fontId="5" fillId="3" borderId="19" xfId="12" applyFont="1" applyFill="1" applyBorder="1"/>
    <xf numFmtId="0" fontId="5" fillId="3" borderId="18" xfId="12" applyFont="1" applyFill="1" applyBorder="1"/>
    <xf numFmtId="0" fontId="3" fillId="0" borderId="0" xfId="12" applyFont="1" applyBorder="1" applyAlignment="1">
      <alignment horizontal="left"/>
    </xf>
    <xf numFmtId="0" fontId="5" fillId="0" borderId="3" xfId="14" applyFont="1" applyFill="1" applyBorder="1" applyAlignment="1">
      <alignment horizontal="center" vertical="center"/>
    </xf>
    <xf numFmtId="39" fontId="3" fillId="0" borderId="13" xfId="14" applyNumberFormat="1" applyFont="1" applyFill="1" applyBorder="1" applyAlignment="1" applyProtection="1"/>
    <xf numFmtId="166" fontId="3" fillId="0" borderId="13" xfId="29" applyFont="1" applyFill="1" applyBorder="1" applyAlignment="1" applyProtection="1"/>
    <xf numFmtId="0" fontId="3" fillId="0" borderId="13" xfId="14" applyFont="1" applyFill="1" applyBorder="1" applyAlignment="1">
      <alignment horizontal="center"/>
    </xf>
    <xf numFmtId="0" fontId="3" fillId="0" borderId="0" xfId="12" applyFont="1" applyFill="1"/>
    <xf numFmtId="0" fontId="5" fillId="0" borderId="13" xfId="14" applyFont="1" applyFill="1" applyBorder="1" applyAlignment="1">
      <alignment horizontal="center" vertical="center"/>
    </xf>
    <xf numFmtId="166" fontId="3" fillId="0" borderId="19" xfId="29" applyFont="1" applyFill="1" applyBorder="1" applyAlignment="1" applyProtection="1"/>
    <xf numFmtId="166" fontId="3" fillId="0" borderId="18" xfId="29" applyFont="1" applyFill="1" applyBorder="1" applyAlignment="1" applyProtection="1"/>
    <xf numFmtId="0" fontId="3" fillId="0" borderId="7" xfId="12" applyFont="1" applyBorder="1" applyAlignment="1">
      <alignment horizontal="left"/>
    </xf>
    <xf numFmtId="0" fontId="3" fillId="0" borderId="7" xfId="12" applyFont="1" applyBorder="1"/>
    <xf numFmtId="166" fontId="3" fillId="0" borderId="7" xfId="29" applyFont="1" applyBorder="1"/>
    <xf numFmtId="166" fontId="5" fillId="0" borderId="19" xfId="29" applyFont="1" applyBorder="1"/>
    <xf numFmtId="0" fontId="3" fillId="0" borderId="19" xfId="12" applyFont="1" applyBorder="1"/>
    <xf numFmtId="166" fontId="3" fillId="0" borderId="19" xfId="29" applyFont="1" applyBorder="1"/>
    <xf numFmtId="166" fontId="3" fillId="0" borderId="18" xfId="29" applyFont="1" applyBorder="1"/>
    <xf numFmtId="0" fontId="3" fillId="0" borderId="13" xfId="12" applyFont="1" applyBorder="1" applyAlignment="1">
      <alignment horizontal="left"/>
    </xf>
    <xf numFmtId="0" fontId="3" fillId="0" borderId="13" xfId="12" applyFont="1" applyBorder="1" applyAlignment="1">
      <alignment horizontal="center"/>
    </xf>
    <xf numFmtId="0" fontId="3" fillId="4" borderId="13" xfId="12" applyFont="1" applyFill="1" applyBorder="1" applyAlignment="1">
      <alignment horizontal="center"/>
    </xf>
    <xf numFmtId="166" fontId="3" fillId="0" borderId="13" xfId="12" applyNumberFormat="1" applyFont="1" applyBorder="1" applyAlignment="1">
      <alignment horizontal="left"/>
    </xf>
    <xf numFmtId="166" fontId="3" fillId="0" borderId="13" xfId="12" applyNumberFormat="1" applyFont="1" applyBorder="1"/>
    <xf numFmtId="10" fontId="3" fillId="0" borderId="13" xfId="12" applyNumberFormat="1" applyFont="1" applyBorder="1"/>
    <xf numFmtId="172" fontId="3" fillId="0" borderId="13" xfId="29" applyNumberFormat="1" applyFont="1" applyBorder="1"/>
    <xf numFmtId="0" fontId="5" fillId="0" borderId="17" xfId="12" applyFont="1" applyBorder="1"/>
    <xf numFmtId="0" fontId="3" fillId="0" borderId="18" xfId="12" applyFont="1" applyBorder="1"/>
    <xf numFmtId="165" fontId="5" fillId="0" borderId="13" xfId="5" applyFont="1" applyBorder="1"/>
    <xf numFmtId="0" fontId="5" fillId="0" borderId="0" xfId="12" applyFont="1" applyBorder="1"/>
    <xf numFmtId="0" fontId="3" fillId="0" borderId="18" xfId="12" applyFont="1" applyBorder="1" applyAlignment="1">
      <alignment horizontal="left"/>
    </xf>
    <xf numFmtId="0" fontId="3" fillId="0" borderId="13" xfId="12" applyFont="1" applyBorder="1" applyAlignment="1">
      <alignment horizontal="right"/>
    </xf>
    <xf numFmtId="0" fontId="3" fillId="0" borderId="17" xfId="12" applyFont="1" applyBorder="1"/>
    <xf numFmtId="10" fontId="3" fillId="0" borderId="0" xfId="12" applyNumberFormat="1" applyFont="1" applyBorder="1"/>
    <xf numFmtId="169" fontId="3" fillId="0" borderId="13" xfId="12" applyNumberFormat="1" applyFont="1" applyBorder="1"/>
    <xf numFmtId="165" fontId="5" fillId="0" borderId="7" xfId="5" applyFont="1" applyBorder="1"/>
    <xf numFmtId="0" fontId="3" fillId="0" borderId="21" xfId="12" applyFont="1" applyBorder="1" applyAlignment="1">
      <alignment horizontal="left"/>
    </xf>
    <xf numFmtId="0" fontId="5" fillId="0" borderId="13" xfId="12" applyFont="1" applyBorder="1" applyAlignment="1">
      <alignment horizontal="center" vertical="center" wrapText="1"/>
    </xf>
    <xf numFmtId="171" fontId="3" fillId="0" borderId="13" xfId="12" applyNumberFormat="1" applyFont="1" applyBorder="1"/>
    <xf numFmtId="166" fontId="3" fillId="0" borderId="16" xfId="29" applyFont="1" applyBorder="1"/>
    <xf numFmtId="166" fontId="5" fillId="0" borderId="13" xfId="29" applyFont="1" applyBorder="1"/>
    <xf numFmtId="4" fontId="3" fillId="0" borderId="0" xfId="12" applyNumberFormat="1" applyFont="1" applyBorder="1"/>
    <xf numFmtId="166" fontId="5" fillId="0" borderId="18" xfId="29" applyFont="1" applyBorder="1"/>
    <xf numFmtId="10" fontId="3" fillId="0" borderId="12" xfId="22" applyNumberFormat="1" applyFont="1" applyFill="1" applyBorder="1" applyAlignment="1">
      <alignment horizontal="center"/>
    </xf>
    <xf numFmtId="181" fontId="3" fillId="0" borderId="12" xfId="29" applyNumberFormat="1" applyFont="1" applyFill="1" applyBorder="1" applyAlignment="1">
      <alignment horizontal="center"/>
    </xf>
    <xf numFmtId="166" fontId="5" fillId="0" borderId="12" xfId="29" applyFont="1" applyBorder="1" applyAlignment="1">
      <alignment horizontal="center"/>
    </xf>
    <xf numFmtId="166" fontId="3" fillId="0" borderId="19" xfId="29" applyFont="1" applyFill="1" applyBorder="1"/>
    <xf numFmtId="181" fontId="3" fillId="0" borderId="19" xfId="29" applyNumberFormat="1" applyFont="1" applyFill="1" applyBorder="1"/>
    <xf numFmtId="0" fontId="5" fillId="0" borderId="11" xfId="7" applyFont="1" applyBorder="1" applyAlignment="1">
      <alignment horizontal="center" vertical="center" wrapText="1"/>
    </xf>
    <xf numFmtId="181" fontId="3" fillId="0" borderId="12" xfId="29" applyNumberFormat="1" applyFont="1" applyFill="1" applyBorder="1"/>
    <xf numFmtId="181" fontId="3" fillId="0" borderId="2" xfId="29" applyNumberFormat="1" applyFont="1" applyFill="1" applyBorder="1"/>
    <xf numFmtId="166" fontId="3" fillId="0" borderId="3" xfId="29" applyFont="1" applyBorder="1"/>
    <xf numFmtId="182" fontId="3" fillId="0" borderId="3" xfId="29" applyNumberFormat="1" applyFont="1" applyFill="1" applyBorder="1"/>
    <xf numFmtId="166" fontId="3" fillId="0" borderId="20" xfId="29" applyFont="1" applyBorder="1"/>
    <xf numFmtId="0" fontId="5" fillId="0" borderId="13" xfId="7" applyFont="1" applyBorder="1" applyAlignment="1">
      <alignment horizontal="center"/>
    </xf>
    <xf numFmtId="169" fontId="3" fillId="0" borderId="13" xfId="29" applyNumberFormat="1" applyFont="1" applyBorder="1" applyAlignment="1"/>
    <xf numFmtId="0" fontId="3" fillId="0" borderId="0" xfId="16" applyFont="1"/>
    <xf numFmtId="183" fontId="3" fillId="0" borderId="0" xfId="29" applyNumberFormat="1" applyFont="1" applyBorder="1"/>
    <xf numFmtId="166" fontId="3" fillId="0" borderId="13" xfId="12" applyNumberFormat="1" applyFont="1" applyBorder="1" applyAlignment="1"/>
    <xf numFmtId="0" fontId="5" fillId="0" borderId="13" xfId="12" applyFont="1" applyBorder="1" applyAlignment="1">
      <alignment horizontal="left"/>
    </xf>
    <xf numFmtId="166" fontId="5" fillId="0" borderId="13" xfId="29" applyFont="1" applyBorder="1" applyAlignment="1"/>
    <xf numFmtId="166" fontId="5" fillId="0" borderId="13" xfId="16" applyNumberFormat="1" applyFont="1" applyBorder="1"/>
    <xf numFmtId="0" fontId="5" fillId="0" borderId="16" xfId="12" applyFont="1" applyBorder="1" applyAlignment="1">
      <alignment horizontal="left"/>
    </xf>
    <xf numFmtId="166" fontId="3" fillId="0" borderId="13" xfId="29" applyFont="1" applyBorder="1" applyAlignment="1">
      <alignment horizontal="center"/>
    </xf>
    <xf numFmtId="166" fontId="3" fillId="4" borderId="12" xfId="29" applyFont="1" applyFill="1" applyBorder="1" applyAlignment="1">
      <alignment horizontal="center"/>
    </xf>
    <xf numFmtId="166" fontId="3" fillId="0" borderId="13" xfId="29" applyFont="1" applyBorder="1" applyAlignment="1">
      <alignment horizontal="left"/>
    </xf>
    <xf numFmtId="166" fontId="3" fillId="4" borderId="0" xfId="29" applyFont="1" applyFill="1" applyBorder="1"/>
    <xf numFmtId="166" fontId="3" fillId="4" borderId="2" xfId="29" applyFont="1" applyFill="1" applyBorder="1"/>
    <xf numFmtId="174" fontId="3" fillId="0" borderId="13" xfId="29" applyNumberFormat="1" applyFont="1" applyBorder="1"/>
    <xf numFmtId="166" fontId="3" fillId="4" borderId="12" xfId="29" applyFont="1" applyFill="1" applyBorder="1"/>
    <xf numFmtId="0" fontId="3" fillId="4" borderId="0" xfId="12" applyFont="1" applyFill="1"/>
    <xf numFmtId="166" fontId="3" fillId="4" borderId="3" xfId="29" applyFont="1" applyFill="1" applyBorder="1"/>
    <xf numFmtId="166" fontId="3" fillId="4" borderId="13" xfId="29" applyFont="1" applyFill="1" applyBorder="1" applyAlignment="1">
      <alignment horizontal="left"/>
    </xf>
    <xf numFmtId="166" fontId="3" fillId="4" borderId="13" xfId="29" applyFont="1" applyFill="1" applyBorder="1"/>
    <xf numFmtId="0" fontId="5" fillId="0" borderId="0" xfId="12" applyFont="1" applyBorder="1" applyAlignment="1">
      <alignment horizontal="left"/>
    </xf>
    <xf numFmtId="0" fontId="5" fillId="0" borderId="12" xfId="12" applyFont="1" applyBorder="1" applyAlignment="1">
      <alignment horizontal="center" vertical="center" wrapText="1"/>
    </xf>
    <xf numFmtId="0" fontId="12" fillId="0" borderId="12" xfId="12" applyFont="1" applyBorder="1" applyAlignment="1">
      <alignment horizontal="center" vertical="center"/>
    </xf>
    <xf numFmtId="166" fontId="5" fillId="0" borderId="13" xfId="29" applyFont="1" applyBorder="1" applyAlignment="1">
      <alignment horizontal="center" vertical="center"/>
    </xf>
    <xf numFmtId="166" fontId="3" fillId="4" borderId="12" xfId="29" applyFont="1" applyFill="1" applyBorder="1" applyAlignment="1">
      <alignment horizontal="left"/>
    </xf>
    <xf numFmtId="0" fontId="3" fillId="4" borderId="0" xfId="12" applyFill="1"/>
    <xf numFmtId="166" fontId="3" fillId="0" borderId="13" xfId="29" applyFont="1" applyFill="1" applyBorder="1"/>
    <xf numFmtId="166" fontId="5" fillId="0" borderId="13" xfId="29" applyFont="1" applyFill="1" applyBorder="1"/>
    <xf numFmtId="10" fontId="3" fillId="0" borderId="19" xfId="12" applyNumberFormat="1" applyFont="1" applyBorder="1"/>
    <xf numFmtId="166" fontId="3" fillId="0" borderId="16" xfId="29" applyFont="1" applyFill="1" applyBorder="1"/>
    <xf numFmtId="0" fontId="5" fillId="0" borderId="16" xfId="12" applyFont="1" applyFill="1" applyBorder="1"/>
    <xf numFmtId="0" fontId="12" fillId="0" borderId="13" xfId="12" applyFont="1" applyBorder="1" applyAlignment="1">
      <alignment horizontal="center" vertical="center"/>
    </xf>
    <xf numFmtId="0" fontId="3" fillId="0" borderId="3" xfId="12" applyFont="1" applyBorder="1"/>
    <xf numFmtId="10" fontId="3" fillId="0" borderId="3" xfId="12" applyNumberFormat="1" applyFont="1" applyBorder="1" applyAlignment="1">
      <alignment horizontal="center"/>
    </xf>
    <xf numFmtId="0" fontId="3" fillId="0" borderId="13" xfId="12" applyBorder="1"/>
    <xf numFmtId="0" fontId="5" fillId="3" borderId="17" xfId="12" applyFont="1" applyFill="1" applyBorder="1" applyAlignment="1">
      <alignment horizontal="left" vertical="center"/>
    </xf>
    <xf numFmtId="0" fontId="5" fillId="3" borderId="19" xfId="12" applyFont="1" applyFill="1" applyBorder="1" applyAlignment="1">
      <alignment horizontal="left" vertical="center"/>
    </xf>
    <xf numFmtId="0" fontId="3" fillId="3" borderId="19" xfId="12" applyFont="1" applyFill="1" applyBorder="1"/>
    <xf numFmtId="0" fontId="3" fillId="3" borderId="18" xfId="12" applyFont="1" applyFill="1" applyBorder="1"/>
    <xf numFmtId="165" fontId="5" fillId="3" borderId="13" xfId="5" applyFont="1" applyFill="1" applyBorder="1"/>
    <xf numFmtId="0" fontId="4" fillId="0" borderId="16" xfId="12" applyFont="1" applyBorder="1" applyAlignment="1">
      <alignment horizontal="left" vertical="center"/>
    </xf>
    <xf numFmtId="0" fontId="5" fillId="0" borderId="16" xfId="12" applyFont="1" applyBorder="1" applyAlignment="1">
      <alignment horizontal="left" vertical="center"/>
    </xf>
    <xf numFmtId="0" fontId="3" fillId="0" borderId="16" xfId="12" applyFont="1" applyBorder="1"/>
    <xf numFmtId="165" fontId="4" fillId="0" borderId="16" xfId="5" applyFont="1" applyBorder="1"/>
    <xf numFmtId="166" fontId="5" fillId="0" borderId="13" xfId="12" applyNumberFormat="1" applyFont="1" applyBorder="1" applyAlignment="1">
      <alignment horizontal="left"/>
    </xf>
    <xf numFmtId="0" fontId="5" fillId="0" borderId="19" xfId="12" applyFont="1" applyBorder="1" applyAlignment="1">
      <alignment horizontal="left" vertical="center"/>
    </xf>
    <xf numFmtId="165" fontId="5" fillId="0" borderId="16" xfId="5" applyFont="1" applyBorder="1"/>
    <xf numFmtId="0" fontId="3" fillId="0" borderId="22" xfId="12" applyFont="1" applyBorder="1"/>
    <xf numFmtId="168" fontId="3" fillId="0" borderId="13" xfId="29" applyNumberFormat="1" applyFont="1" applyBorder="1"/>
    <xf numFmtId="165" fontId="3" fillId="0" borderId="0" xfId="12" applyNumberFormat="1" applyFont="1"/>
    <xf numFmtId="172" fontId="5" fillId="0" borderId="13" xfId="12" applyNumberFormat="1" applyFont="1" applyBorder="1" applyAlignment="1">
      <alignment horizontal="center"/>
    </xf>
    <xf numFmtId="165" fontId="5" fillId="0" borderId="18" xfId="5" applyFont="1" applyBorder="1"/>
    <xf numFmtId="0" fontId="3" fillId="0" borderId="19" xfId="12" applyFont="1" applyBorder="1" applyAlignment="1">
      <alignment horizontal="left"/>
    </xf>
    <xf numFmtId="0" fontId="5" fillId="0" borderId="23" xfId="12" applyFont="1" applyBorder="1" applyAlignment="1">
      <alignment horizontal="left" vertical="center"/>
    </xf>
    <xf numFmtId="0" fontId="5" fillId="0" borderId="24" xfId="12" applyFont="1" applyBorder="1" applyAlignment="1">
      <alignment horizontal="left"/>
    </xf>
    <xf numFmtId="0" fontId="3" fillId="0" borderId="24" xfId="12" applyFont="1" applyBorder="1" applyAlignment="1">
      <alignment horizontal="left"/>
    </xf>
    <xf numFmtId="0" fontId="3" fillId="0" borderId="24" xfId="12" applyFont="1" applyBorder="1"/>
    <xf numFmtId="175" fontId="5" fillId="0" borderId="25" xfId="29" applyNumberFormat="1" applyFont="1" applyBorder="1"/>
    <xf numFmtId="166" fontId="3" fillId="0" borderId="0" xfId="29" applyFont="1" applyAlignment="1">
      <alignment horizontal="left"/>
    </xf>
    <xf numFmtId="166" fontId="3" fillId="0" borderId="0" xfId="29" applyFont="1" applyAlignment="1">
      <alignment horizontal="center"/>
    </xf>
    <xf numFmtId="166" fontId="3" fillId="0" borderId="0" xfId="29" applyFont="1" applyAlignment="1"/>
    <xf numFmtId="0" fontId="5" fillId="0" borderId="13" xfId="12" applyFont="1" applyBorder="1" applyAlignment="1">
      <alignment vertical="center"/>
    </xf>
    <xf numFmtId="0" fontId="3" fillId="0" borderId="13" xfId="12" applyFont="1" applyFill="1" applyBorder="1" applyAlignment="1">
      <alignment horizontal="left"/>
    </xf>
    <xf numFmtId="184" fontId="3" fillId="0" borderId="13" xfId="29" applyNumberFormat="1" applyFont="1" applyBorder="1" applyAlignment="1">
      <alignment horizontal="center" vertical="center"/>
    </xf>
    <xf numFmtId="185" fontId="5" fillId="0" borderId="13" xfId="29" applyNumberFormat="1" applyFont="1" applyBorder="1" applyAlignment="1">
      <alignment horizontal="center" vertical="center"/>
    </xf>
    <xf numFmtId="187" fontId="3" fillId="0" borderId="12" xfId="29" applyNumberFormat="1" applyFont="1" applyFill="1" applyBorder="1"/>
    <xf numFmtId="187" fontId="3" fillId="0" borderId="2" xfId="29" applyNumberFormat="1" applyFont="1" applyFill="1" applyBorder="1"/>
    <xf numFmtId="188" fontId="3" fillId="0" borderId="3" xfId="29" applyNumberFormat="1" applyFont="1" applyFill="1" applyBorder="1"/>
    <xf numFmtId="0" fontId="3" fillId="0" borderId="16" xfId="7" applyFont="1" applyBorder="1"/>
    <xf numFmtId="176" fontId="3" fillId="0" borderId="13" xfId="29" applyNumberFormat="1" applyFont="1" applyBorder="1"/>
    <xf numFmtId="10" fontId="3" fillId="0" borderId="7" xfId="12" applyNumberFormat="1" applyFont="1" applyBorder="1"/>
    <xf numFmtId="166" fontId="3" fillId="0" borderId="7" xfId="29" applyFont="1" applyFill="1" applyBorder="1"/>
    <xf numFmtId="0" fontId="5" fillId="0" borderId="7" xfId="12" applyFont="1" applyFill="1" applyBorder="1"/>
    <xf numFmtId="2" fontId="3" fillId="0" borderId="13" xfId="12" applyNumberFormat="1" applyFont="1" applyBorder="1" applyAlignment="1">
      <alignment horizontal="center"/>
    </xf>
    <xf numFmtId="0" fontId="3" fillId="0" borderId="13" xfId="12" applyFont="1" applyFill="1" applyBorder="1" applyAlignment="1">
      <alignment horizontal="center"/>
    </xf>
    <xf numFmtId="9" fontId="3" fillId="0" borderId="13" xfId="22" applyFont="1" applyBorder="1" applyAlignment="1">
      <alignment horizontal="center" vertical="center"/>
    </xf>
    <xf numFmtId="0" fontId="5" fillId="0" borderId="13" xfId="12" applyFont="1" applyBorder="1"/>
    <xf numFmtId="0" fontId="3" fillId="0" borderId="11" xfId="12" applyFont="1" applyBorder="1" applyAlignment="1">
      <alignment horizontal="center"/>
    </xf>
    <xf numFmtId="0" fontId="8" fillId="2" borderId="17" xfId="12" applyFont="1" applyFill="1" applyBorder="1" applyAlignment="1">
      <alignment horizontal="left" vertical="center"/>
    </xf>
    <xf numFmtId="0" fontId="3" fillId="2" borderId="19" xfId="12" applyFont="1" applyFill="1" applyBorder="1" applyAlignment="1">
      <alignment vertical="center"/>
    </xf>
    <xf numFmtId="165" fontId="3" fillId="2" borderId="18" xfId="12" applyNumberFormat="1" applyFont="1" applyFill="1" applyBorder="1" applyAlignment="1">
      <alignment vertical="center"/>
    </xf>
    <xf numFmtId="0" fontId="3" fillId="0" borderId="0" xfId="12" applyFont="1" applyAlignment="1">
      <alignment horizontal="left" vertical="center"/>
    </xf>
    <xf numFmtId="0" fontId="3" fillId="0" borderId="0" xfId="12" applyFont="1" applyBorder="1" applyAlignment="1">
      <alignment vertical="center"/>
    </xf>
    <xf numFmtId="166" fontId="3" fillId="0" borderId="13" xfId="12" applyNumberFormat="1" applyFont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3" fillId="0" borderId="0" xfId="9"/>
    <xf numFmtId="0" fontId="3" fillId="0" borderId="0" xfId="9" applyFont="1"/>
    <xf numFmtId="166" fontId="3" fillId="5" borderId="13" xfId="29" applyFont="1" applyFill="1" applyBorder="1"/>
    <xf numFmtId="0" fontId="2" fillId="0" borderId="26" xfId="9" applyFont="1" applyFill="1" applyBorder="1" applyAlignment="1">
      <alignment horizontal="left"/>
    </xf>
    <xf numFmtId="0" fontId="3" fillId="0" borderId="0" xfId="9" applyFill="1"/>
    <xf numFmtId="0" fontId="5" fillId="0" borderId="3" xfId="14" applyFont="1" applyFill="1" applyBorder="1" applyAlignment="1">
      <alignment horizontal="center" vertical="center" wrapText="1"/>
    </xf>
    <xf numFmtId="0" fontId="5" fillId="0" borderId="0" xfId="9" applyFont="1" applyFill="1"/>
    <xf numFmtId="0" fontId="3" fillId="0" borderId="0" xfId="9" applyFont="1" applyFill="1"/>
    <xf numFmtId="10" fontId="3" fillId="0" borderId="13" xfId="12" applyNumberFormat="1" applyFont="1" applyFill="1" applyBorder="1" applyAlignment="1">
      <alignment horizontal="center"/>
    </xf>
    <xf numFmtId="166" fontId="3" fillId="0" borderId="13" xfId="29" applyNumberFormat="1" applyFont="1" applyFill="1" applyBorder="1" applyAlignment="1"/>
    <xf numFmtId="169" fontId="3" fillId="0" borderId="13" xfId="29" applyNumberFormat="1" applyFont="1" applyFill="1" applyBorder="1"/>
    <xf numFmtId="166" fontId="5" fillId="0" borderId="10" xfId="28" applyFont="1" applyFill="1" applyBorder="1" applyAlignment="1">
      <alignment vertical="center"/>
    </xf>
    <xf numFmtId="0" fontId="3" fillId="0" borderId="17" xfId="14" applyFont="1" applyFill="1" applyBorder="1" applyAlignment="1"/>
    <xf numFmtId="190" fontId="11" fillId="0" borderId="0" xfId="9" applyNumberFormat="1" applyFont="1" applyBorder="1" applyAlignment="1">
      <alignment vertical="center"/>
    </xf>
    <xf numFmtId="0" fontId="11" fillId="0" borderId="17" xfId="9" applyFont="1" applyBorder="1" applyAlignment="1">
      <alignment horizontal="center" vertical="center"/>
    </xf>
    <xf numFmtId="0" fontId="11" fillId="0" borderId="19" xfId="9" applyFont="1" applyBorder="1" applyAlignment="1">
      <alignment horizontal="center" vertical="center"/>
    </xf>
    <xf numFmtId="189" fontId="3" fillId="0" borderId="19" xfId="9" applyNumberFormat="1" applyFont="1" applyBorder="1" applyAlignment="1">
      <alignment horizontal="center" vertical="center"/>
    </xf>
    <xf numFmtId="0" fontId="3" fillId="0" borderId="19" xfId="9" applyBorder="1"/>
    <xf numFmtId="0" fontId="3" fillId="0" borderId="18" xfId="9" applyBorder="1"/>
    <xf numFmtId="0" fontId="3" fillId="0" borderId="17" xfId="9" applyBorder="1" applyAlignment="1">
      <alignment horizontal="right"/>
    </xf>
    <xf numFmtId="0" fontId="2" fillId="0" borderId="27" xfId="9" applyFont="1" applyFill="1" applyBorder="1" applyAlignment="1">
      <alignment horizontal="left"/>
    </xf>
    <xf numFmtId="0" fontId="2" fillId="0" borderId="0" xfId="12" applyFont="1" applyFill="1" applyAlignment="1">
      <alignment horizontal="center"/>
    </xf>
    <xf numFmtId="0" fontId="2" fillId="0" borderId="28" xfId="9" applyFont="1" applyFill="1" applyBorder="1" applyAlignment="1">
      <alignment horizontal="left"/>
    </xf>
    <xf numFmtId="0" fontId="2" fillId="0" borderId="29" xfId="9" applyFont="1" applyFill="1" applyBorder="1" applyAlignment="1">
      <alignment horizontal="left"/>
    </xf>
    <xf numFmtId="0" fontId="14" fillId="0" borderId="26" xfId="9" applyFont="1" applyFill="1" applyBorder="1" applyAlignment="1">
      <alignment horizontal="left"/>
    </xf>
    <xf numFmtId="0" fontId="14" fillId="0" borderId="30" xfId="9" applyFont="1" applyFill="1" applyBorder="1" applyAlignment="1">
      <alignment horizontal="left"/>
    </xf>
    <xf numFmtId="0" fontId="14" fillId="0" borderId="31" xfId="9" applyFont="1" applyFill="1" applyBorder="1" applyAlignment="1">
      <alignment horizontal="left"/>
    </xf>
    <xf numFmtId="0" fontId="2" fillId="0" borderId="32" xfId="9" applyFont="1" applyFill="1" applyBorder="1" applyAlignment="1">
      <alignment horizontal="left"/>
    </xf>
    <xf numFmtId="40" fontId="3" fillId="0" borderId="0" xfId="9" applyNumberFormat="1" applyFont="1" applyFill="1"/>
    <xf numFmtId="0" fontId="14" fillId="0" borderId="28" xfId="9" applyFont="1" applyFill="1" applyBorder="1" applyAlignment="1">
      <alignment horizontal="left"/>
    </xf>
    <xf numFmtId="0" fontId="14" fillId="0" borderId="33" xfId="9" applyFont="1" applyFill="1" applyBorder="1" applyAlignment="1">
      <alignment horizontal="left"/>
    </xf>
    <xf numFmtId="0" fontId="3" fillId="0" borderId="19" xfId="12" applyFont="1" applyFill="1" applyBorder="1"/>
    <xf numFmtId="166" fontId="3" fillId="0" borderId="0" xfId="12" applyNumberFormat="1" applyFont="1" applyFill="1"/>
    <xf numFmtId="0" fontId="3" fillId="0" borderId="0" xfId="12" applyFont="1" applyFill="1" applyBorder="1"/>
    <xf numFmtId="0" fontId="3" fillId="0" borderId="0" xfId="12" applyFont="1" applyFill="1" applyBorder="1" applyAlignment="1">
      <alignment horizontal="left"/>
    </xf>
    <xf numFmtId="4" fontId="3" fillId="0" borderId="0" xfId="12" applyNumberFormat="1" applyFont="1" applyFill="1"/>
    <xf numFmtId="166" fontId="5" fillId="0" borderId="18" xfId="0" applyNumberFormat="1" applyFont="1" applyFill="1" applyBorder="1" applyAlignment="1"/>
    <xf numFmtId="0" fontId="3" fillId="0" borderId="0" xfId="0" applyFont="1" applyFill="1" applyAlignment="1">
      <alignment vertical="center"/>
    </xf>
    <xf numFmtId="0" fontId="5" fillId="0" borderId="34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Continuous" vertical="center"/>
    </xf>
    <xf numFmtId="0" fontId="3" fillId="0" borderId="3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166" fontId="5" fillId="0" borderId="38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Continuous" vertical="center"/>
    </xf>
    <xf numFmtId="0" fontId="3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166" fontId="5" fillId="0" borderId="0" xfId="28" applyFont="1" applyFill="1" applyAlignment="1">
      <alignment horizontal="centerContinuous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166" fontId="3" fillId="0" borderId="44" xfId="28" applyFont="1" applyFill="1" applyBorder="1" applyAlignment="1">
      <alignment vertical="center"/>
    </xf>
    <xf numFmtId="0" fontId="3" fillId="0" borderId="16" xfId="12" applyFont="1" applyFill="1" applyBorder="1" applyAlignment="1">
      <alignment horizontal="left"/>
    </xf>
    <xf numFmtId="0" fontId="3" fillId="0" borderId="7" xfId="12" applyFont="1" applyFill="1" applyBorder="1" applyAlignment="1">
      <alignment horizontal="left"/>
    </xf>
    <xf numFmtId="2" fontId="3" fillId="0" borderId="7" xfId="12" applyNumberFormat="1" applyBorder="1" applyAlignment="1">
      <alignment horizontal="center"/>
    </xf>
    <xf numFmtId="2" fontId="5" fillId="0" borderId="7" xfId="12" applyNumberFormat="1" applyFont="1" applyFill="1" applyBorder="1" applyAlignment="1">
      <alignment horizontal="center"/>
    </xf>
    <xf numFmtId="0" fontId="3" fillId="0" borderId="13" xfId="12" applyFont="1" applyFill="1" applyBorder="1" applyAlignment="1">
      <alignment horizontal="left" wrapText="1"/>
    </xf>
    <xf numFmtId="166" fontId="3" fillId="0" borderId="0" xfId="0" applyNumberFormat="1" applyFont="1" applyFill="1" applyAlignment="1">
      <alignment vertical="center"/>
    </xf>
    <xf numFmtId="0" fontId="27" fillId="0" borderId="32" xfId="9" applyFont="1" applyFill="1" applyBorder="1" applyAlignment="1">
      <alignment horizontal="left"/>
    </xf>
    <xf numFmtId="0" fontId="27" fillId="0" borderId="28" xfId="9" applyFont="1" applyFill="1" applyBorder="1" applyAlignment="1">
      <alignment horizontal="left"/>
    </xf>
    <xf numFmtId="0" fontId="27" fillId="0" borderId="26" xfId="9" applyFont="1" applyFill="1" applyBorder="1" applyAlignment="1">
      <alignment horizontal="left"/>
    </xf>
    <xf numFmtId="0" fontId="28" fillId="0" borderId="28" xfId="9" applyFont="1" applyFill="1" applyBorder="1" applyAlignment="1">
      <alignment horizontal="left"/>
    </xf>
    <xf numFmtId="0" fontId="28" fillId="0" borderId="30" xfId="9" applyFont="1" applyFill="1" applyBorder="1" applyAlignment="1">
      <alignment horizontal="left"/>
    </xf>
    <xf numFmtId="0" fontId="28" fillId="0" borderId="33" xfId="9" applyFont="1" applyFill="1" applyBorder="1" applyAlignment="1">
      <alignment horizontal="left"/>
    </xf>
    <xf numFmtId="40" fontId="27" fillId="0" borderId="45" xfId="9" applyNumberFormat="1" applyFont="1" applyFill="1" applyBorder="1" applyAlignment="1">
      <alignment horizontal="center"/>
    </xf>
    <xf numFmtId="40" fontId="27" fillId="0" borderId="46" xfId="9" applyNumberFormat="1" applyFont="1" applyFill="1" applyBorder="1" applyAlignment="1">
      <alignment horizontal="center"/>
    </xf>
    <xf numFmtId="0" fontId="27" fillId="0" borderId="33" xfId="9" applyFont="1" applyFill="1" applyBorder="1" applyAlignment="1">
      <alignment horizontal="left"/>
    </xf>
    <xf numFmtId="0" fontId="5" fillId="0" borderId="3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3" fillId="0" borderId="47" xfId="9" applyBorder="1" applyAlignment="1">
      <alignment horizontal="right"/>
    </xf>
    <xf numFmtId="0" fontId="3" fillId="6" borderId="0" xfId="9" applyFont="1" applyFill="1"/>
    <xf numFmtId="194" fontId="5" fillId="0" borderId="0" xfId="12" applyNumberFormat="1" applyFont="1" applyBorder="1" applyAlignment="1">
      <alignment horizontal="left" vertical="center"/>
    </xf>
    <xf numFmtId="0" fontId="5" fillId="0" borderId="0" xfId="12" applyFont="1" applyFill="1" applyBorder="1" applyAlignment="1">
      <alignment horizontal="left" vertical="center"/>
    </xf>
    <xf numFmtId="0" fontId="0" fillId="0" borderId="0" xfId="0" applyFill="1"/>
    <xf numFmtId="0" fontId="3" fillId="0" borderId="0" xfId="12" applyFill="1" applyAlignment="1">
      <alignment horizontal="left"/>
    </xf>
    <xf numFmtId="0" fontId="5" fillId="0" borderId="0" xfId="12" applyFont="1" applyFill="1" applyBorder="1" applyAlignment="1">
      <alignment vertical="center"/>
    </xf>
    <xf numFmtId="0" fontId="18" fillId="0" borderId="0" xfId="0" applyFont="1" applyFill="1" applyAlignment="1">
      <alignment horizontal="right"/>
    </xf>
    <xf numFmtId="10" fontId="9" fillId="0" borderId="48" xfId="20" applyNumberFormat="1" applyFont="1" applyFill="1" applyBorder="1" applyAlignment="1">
      <alignment horizontal="center" vertical="center" wrapText="1"/>
    </xf>
    <xf numFmtId="9" fontId="9" fillId="0" borderId="48" xfId="20" applyFont="1" applyFill="1" applyBorder="1" applyAlignment="1">
      <alignment horizontal="center" vertical="center"/>
    </xf>
    <xf numFmtId="195" fontId="9" fillId="0" borderId="48" xfId="20" applyNumberFormat="1" applyFont="1" applyFill="1" applyBorder="1" applyAlignment="1">
      <alignment horizontal="center" vertical="center"/>
    </xf>
    <xf numFmtId="9" fontId="9" fillId="0" borderId="49" xfId="20" applyFont="1" applyFill="1" applyBorder="1" applyAlignment="1">
      <alignment horizontal="center" vertical="center"/>
    </xf>
    <xf numFmtId="195" fontId="9" fillId="0" borderId="49" xfId="2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93" fontId="5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9" fontId="9" fillId="0" borderId="0" xfId="20" applyFont="1" applyFill="1" applyBorder="1" applyAlignment="1">
      <alignment horizontal="center" vertical="center"/>
    </xf>
    <xf numFmtId="195" fontId="9" fillId="0" borderId="0" xfId="20" applyNumberFormat="1" applyFont="1" applyFill="1" applyBorder="1" applyAlignment="1">
      <alignment horizontal="center" vertical="center"/>
    </xf>
    <xf numFmtId="0" fontId="5" fillId="0" borderId="0" xfId="8" applyFont="1" applyAlignment="1"/>
    <xf numFmtId="193" fontId="5" fillId="7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43" fontId="5" fillId="0" borderId="0" xfId="12" applyNumberFormat="1" applyFont="1" applyBorder="1"/>
    <xf numFmtId="165" fontId="5" fillId="8" borderId="13" xfId="5" applyFont="1" applyFill="1" applyBorder="1"/>
    <xf numFmtId="173" fontId="3" fillId="5" borderId="17" xfId="29" applyNumberFormat="1" applyFont="1" applyFill="1" applyBorder="1" applyAlignment="1">
      <alignment vertical="center"/>
    </xf>
    <xf numFmtId="166" fontId="3" fillId="0" borderId="16" xfId="29" applyFont="1" applyBorder="1" applyAlignment="1">
      <alignment horizontal="center"/>
    </xf>
    <xf numFmtId="0" fontId="3" fillId="5" borderId="0" xfId="12" applyFill="1"/>
    <xf numFmtId="0" fontId="5" fillId="0" borderId="3" xfId="12" applyFont="1" applyBorder="1" applyAlignment="1">
      <alignment horizontal="center" vertical="center"/>
    </xf>
    <xf numFmtId="0" fontId="5" fillId="0" borderId="3" xfId="12" applyFont="1" applyBorder="1" applyAlignment="1">
      <alignment horizontal="center" vertical="center" wrapText="1"/>
    </xf>
    <xf numFmtId="186" fontId="3" fillId="5" borderId="20" xfId="29" applyNumberFormat="1" applyFont="1" applyFill="1" applyBorder="1" applyAlignment="1">
      <alignment vertical="center"/>
    </xf>
    <xf numFmtId="1" fontId="5" fillId="0" borderId="50" xfId="0" applyNumberFormat="1" applyFont="1" applyFill="1" applyBorder="1" applyAlignment="1">
      <alignment horizontal="center" vertical="center"/>
    </xf>
    <xf numFmtId="1" fontId="5" fillId="0" borderId="51" xfId="0" applyNumberFormat="1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left" vertical="center" wrapText="1"/>
    </xf>
    <xf numFmtId="193" fontId="5" fillId="7" borderId="52" xfId="0" applyNumberFormat="1" applyFont="1" applyFill="1" applyBorder="1" applyAlignment="1">
      <alignment horizontal="center" vertical="center"/>
    </xf>
    <xf numFmtId="10" fontId="9" fillId="0" borderId="53" xfId="20" applyNumberFormat="1" applyFont="1" applyFill="1" applyBorder="1" applyAlignment="1">
      <alignment horizontal="center" vertical="center" wrapText="1"/>
    </xf>
    <xf numFmtId="9" fontId="9" fillId="0" borderId="53" xfId="20" applyFont="1" applyFill="1" applyBorder="1" applyAlignment="1">
      <alignment horizontal="center" vertical="center"/>
    </xf>
    <xf numFmtId="195" fontId="9" fillId="0" borderId="53" xfId="20" applyNumberFormat="1" applyFont="1" applyFill="1" applyBorder="1" applyAlignment="1">
      <alignment horizontal="center" vertical="center"/>
    </xf>
    <xf numFmtId="9" fontId="3" fillId="0" borderId="13" xfId="12" applyNumberFormat="1" applyFont="1" applyBorder="1"/>
    <xf numFmtId="43" fontId="3" fillId="0" borderId="0" xfId="12" applyNumberForma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93" fontId="3" fillId="0" borderId="54" xfId="29" applyNumberFormat="1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2" xfId="29" applyNumberFormat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193" fontId="0" fillId="0" borderId="52" xfId="0" applyNumberFormat="1" applyBorder="1" applyAlignment="1">
      <alignment horizontal="center"/>
    </xf>
    <xf numFmtId="193" fontId="0" fillId="0" borderId="53" xfId="0" applyNumberForma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193" fontId="3" fillId="0" borderId="60" xfId="27" applyNumberFormat="1" applyFont="1" applyFill="1" applyBorder="1" applyAlignment="1">
      <alignment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1" fontId="5" fillId="0" borderId="6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193" fontId="5" fillId="7" borderId="3" xfId="0" applyNumberFormat="1" applyFont="1" applyFill="1" applyBorder="1" applyAlignment="1">
      <alignment horizontal="center" vertical="center"/>
    </xf>
    <xf numFmtId="10" fontId="9" fillId="0" borderId="49" xfId="2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12" applyAlignment="1">
      <alignment vertical="center" wrapText="1"/>
    </xf>
    <xf numFmtId="166" fontId="3" fillId="0" borderId="11" xfId="29" applyFont="1" applyBorder="1" applyAlignment="1">
      <alignment vertical="center" wrapText="1"/>
    </xf>
    <xf numFmtId="166" fontId="3" fillId="0" borderId="0" xfId="29" applyFont="1" applyBorder="1" applyAlignment="1">
      <alignment vertical="center" wrapText="1"/>
    </xf>
    <xf numFmtId="0" fontId="11" fillId="0" borderId="47" xfId="0" applyFont="1" applyFill="1" applyBorder="1" applyAlignment="1">
      <alignment horizontal="left"/>
    </xf>
    <xf numFmtId="0" fontId="3" fillId="0" borderId="16" xfId="17" applyBorder="1" applyAlignment="1">
      <alignment horizontal="centerContinuous"/>
    </xf>
    <xf numFmtId="166" fontId="3" fillId="0" borderId="16" xfId="30" applyNumberFormat="1" applyBorder="1" applyAlignment="1">
      <alignment horizontal="centerContinuous"/>
    </xf>
    <xf numFmtId="0" fontId="19" fillId="0" borderId="16" xfId="15" applyNumberFormat="1" applyFont="1" applyFill="1" applyBorder="1" applyAlignment="1">
      <alignment vertical="center"/>
    </xf>
    <xf numFmtId="0" fontId="19" fillId="0" borderId="16" xfId="15" applyNumberFormat="1" applyFont="1" applyFill="1" applyBorder="1" applyAlignment="1">
      <alignment vertical="center" shrinkToFit="1"/>
    </xf>
    <xf numFmtId="0" fontId="19" fillId="0" borderId="16" xfId="15" applyNumberFormat="1" applyFont="1" applyFill="1" applyBorder="1" applyAlignment="1">
      <alignment horizontal="left" vertical="center" shrinkToFit="1"/>
    </xf>
    <xf numFmtId="0" fontId="19" fillId="0" borderId="16" xfId="15" applyNumberFormat="1" applyFont="1" applyFill="1" applyBorder="1" applyAlignment="1">
      <alignment horizontal="center" vertical="center" shrinkToFit="1"/>
    </xf>
    <xf numFmtId="0" fontId="19" fillId="0" borderId="21" xfId="15" applyNumberFormat="1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/>
    </xf>
    <xf numFmtId="0" fontId="3" fillId="0" borderId="0" xfId="17" applyBorder="1" applyAlignment="1">
      <alignment horizontal="centerContinuous"/>
    </xf>
    <xf numFmtId="166" fontId="3" fillId="0" borderId="0" xfId="30" applyNumberFormat="1" applyBorder="1" applyAlignment="1">
      <alignment horizontal="centerContinuous"/>
    </xf>
    <xf numFmtId="0" fontId="19" fillId="0" borderId="0" xfId="15" applyNumberFormat="1" applyFont="1" applyFill="1" applyBorder="1" applyAlignment="1">
      <alignment vertical="center"/>
    </xf>
    <xf numFmtId="0" fontId="19" fillId="0" borderId="0" xfId="15" applyNumberFormat="1" applyFont="1" applyFill="1" applyBorder="1" applyAlignment="1">
      <alignment vertical="center" shrinkToFit="1"/>
    </xf>
    <xf numFmtId="0" fontId="19" fillId="0" borderId="0" xfId="15" applyNumberFormat="1" applyFont="1" applyFill="1" applyBorder="1" applyAlignment="1">
      <alignment horizontal="left" vertical="center" shrinkToFit="1"/>
    </xf>
    <xf numFmtId="0" fontId="19" fillId="0" borderId="0" xfId="15" applyNumberFormat="1" applyFont="1" applyFill="1" applyBorder="1" applyAlignment="1">
      <alignment horizontal="center" vertical="center" shrinkToFit="1"/>
    </xf>
    <xf numFmtId="0" fontId="19" fillId="0" borderId="22" xfId="15" applyNumberFormat="1" applyFont="1" applyFill="1" applyBorder="1" applyAlignment="1">
      <alignment horizontal="center" vertical="center" shrinkToFit="1"/>
    </xf>
    <xf numFmtId="0" fontId="4" fillId="0" borderId="11" xfId="17" applyFont="1" applyBorder="1" applyAlignment="1">
      <alignment horizontal="centerContinuous"/>
    </xf>
    <xf numFmtId="0" fontId="14" fillId="0" borderId="0" xfId="12" applyFont="1" applyBorder="1" applyAlignment="1">
      <alignment horizontal="left" vertical="center"/>
    </xf>
    <xf numFmtId="0" fontId="7" fillId="0" borderId="11" xfId="13" applyBorder="1" applyAlignment="1">
      <alignment horizontal="centerContinuous"/>
    </xf>
    <xf numFmtId="0" fontId="14" fillId="0" borderId="0" xfId="12" applyFont="1" applyBorder="1" applyAlignment="1">
      <alignment vertical="center"/>
    </xf>
    <xf numFmtId="166" fontId="3" fillId="0" borderId="0" xfId="30" applyNumberFormat="1" applyBorder="1"/>
    <xf numFmtId="0" fontId="3" fillId="0" borderId="0" xfId="17" applyBorder="1"/>
    <xf numFmtId="0" fontId="5" fillId="0" borderId="20" xfId="17" applyFont="1" applyBorder="1" applyAlignment="1">
      <alignment horizontal="centerContinuous"/>
    </xf>
    <xf numFmtId="0" fontId="3" fillId="0" borderId="7" xfId="17" applyBorder="1" applyAlignment="1">
      <alignment horizontal="centerContinuous"/>
    </xf>
    <xf numFmtId="166" fontId="3" fillId="0" borderId="7" xfId="30" applyNumberFormat="1" applyBorder="1" applyAlignment="1">
      <alignment horizontal="centerContinuous"/>
    </xf>
    <xf numFmtId="0" fontId="2" fillId="0" borderId="7" xfId="15" applyNumberFormat="1" applyFont="1" applyFill="1" applyBorder="1" applyAlignment="1">
      <alignment vertical="center"/>
    </xf>
    <xf numFmtId="0" fontId="19" fillId="0" borderId="7" xfId="15" applyNumberFormat="1" applyFont="1" applyFill="1" applyBorder="1" applyAlignment="1">
      <alignment vertical="center"/>
    </xf>
    <xf numFmtId="0" fontId="3" fillId="0" borderId="7" xfId="17" applyBorder="1" applyAlignment="1">
      <alignment horizontal="right"/>
    </xf>
    <xf numFmtId="0" fontId="19" fillId="0" borderId="20" xfId="15" applyFont="1" applyFill="1" applyBorder="1" applyAlignment="1">
      <alignment vertical="center" shrinkToFit="1"/>
    </xf>
    <xf numFmtId="0" fontId="19" fillId="0" borderId="7" xfId="11" applyFont="1" applyBorder="1" applyAlignment="1">
      <alignment vertical="center"/>
    </xf>
    <xf numFmtId="0" fontId="19" fillId="0" borderId="7" xfId="11" applyFont="1" applyBorder="1" applyAlignment="1">
      <alignment vertical="center" shrinkToFit="1"/>
    </xf>
    <xf numFmtId="0" fontId="19" fillId="0" borderId="63" xfId="11" applyFont="1" applyBorder="1" applyAlignment="1">
      <alignment vertical="center" shrinkToFit="1"/>
    </xf>
    <xf numFmtId="0" fontId="19" fillId="0" borderId="19" xfId="11" applyFont="1" applyBorder="1" applyAlignment="1">
      <alignment vertical="center"/>
    </xf>
    <xf numFmtId="0" fontId="19" fillId="0" borderId="0" xfId="11" applyFont="1" applyBorder="1" applyAlignment="1">
      <alignment vertical="center"/>
    </xf>
    <xf numFmtId="0" fontId="19" fillId="0" borderId="11" xfId="15" applyNumberFormat="1" applyFont="1" applyFill="1" applyBorder="1" applyAlignment="1">
      <alignment horizontal="justify" vertical="center" wrapText="1"/>
    </xf>
    <xf numFmtId="0" fontId="19" fillId="0" borderId="0" xfId="15" applyNumberFormat="1" applyFont="1" applyFill="1" applyBorder="1" applyAlignment="1">
      <alignment horizontal="justify" vertical="center" wrapText="1"/>
    </xf>
    <xf numFmtId="0" fontId="19" fillId="0" borderId="22" xfId="15" applyNumberFormat="1" applyFont="1" applyFill="1" applyBorder="1" applyAlignment="1">
      <alignment horizontal="justify" vertical="center" wrapText="1"/>
    </xf>
    <xf numFmtId="0" fontId="19" fillId="0" borderId="20" xfId="31" applyNumberFormat="1" applyFont="1" applyFill="1" applyBorder="1" applyAlignment="1">
      <alignment horizontal="center" vertical="center"/>
    </xf>
    <xf numFmtId="0" fontId="19" fillId="0" borderId="7" xfId="31" applyNumberFormat="1" applyFont="1" applyFill="1" applyBorder="1" applyAlignment="1">
      <alignment horizontal="center" vertical="center"/>
    </xf>
    <xf numFmtId="0" fontId="19" fillId="0" borderId="7" xfId="11" applyNumberFormat="1" applyFont="1" applyFill="1" applyBorder="1" applyAlignment="1">
      <alignment horizontal="center" vertical="center"/>
    </xf>
    <xf numFmtId="0" fontId="19" fillId="0" borderId="7" xfId="6" applyNumberFormat="1" applyFont="1" applyFill="1" applyBorder="1" applyAlignment="1">
      <alignment horizontal="center" vertical="center"/>
    </xf>
    <xf numFmtId="0" fontId="19" fillId="0" borderId="7" xfId="15" applyNumberFormat="1" applyFont="1" applyFill="1" applyBorder="1" applyAlignment="1">
      <alignment horizontal="center" vertical="center"/>
    </xf>
    <xf numFmtId="0" fontId="19" fillId="0" borderId="63" xfId="15" applyNumberFormat="1" applyFont="1" applyFill="1" applyBorder="1" applyAlignment="1">
      <alignment vertical="center"/>
    </xf>
    <xf numFmtId="0" fontId="19" fillId="0" borderId="17" xfId="15" applyNumberFormat="1" applyFont="1" applyFill="1" applyBorder="1" applyAlignment="1">
      <alignment vertical="center"/>
    </xf>
    <xf numFmtId="10" fontId="19" fillId="0" borderId="19" xfId="11" applyNumberFormat="1" applyFont="1" applyBorder="1" applyAlignment="1">
      <alignment horizontal="center" vertical="center"/>
    </xf>
    <xf numFmtId="0" fontId="19" fillId="0" borderId="19" xfId="11" applyFont="1" applyBorder="1" applyAlignment="1">
      <alignment horizontal="center" vertical="center"/>
    </xf>
    <xf numFmtId="10" fontId="19" fillId="0" borderId="19" xfId="11" applyNumberFormat="1" applyFont="1" applyBorder="1" applyAlignment="1">
      <alignment horizontal="left" vertical="center"/>
    </xf>
    <xf numFmtId="0" fontId="19" fillId="0" borderId="18" xfId="11" applyFont="1" applyBorder="1" applyAlignment="1">
      <alignment horizontal="left" vertical="center"/>
    </xf>
    <xf numFmtId="10" fontId="19" fillId="0" borderId="19" xfId="11" applyNumberFormat="1" applyFont="1" applyBorder="1" applyAlignment="1">
      <alignment horizontal="center" vertical="center" shrinkToFit="1"/>
    </xf>
    <xf numFmtId="0" fontId="19" fillId="0" borderId="19" xfId="11" applyFont="1" applyBorder="1" applyAlignment="1">
      <alignment horizontal="center" vertical="center" shrinkToFit="1"/>
    </xf>
    <xf numFmtId="0" fontId="19" fillId="0" borderId="18" xfId="11" applyFont="1" applyBorder="1" applyAlignment="1">
      <alignment horizontal="center" vertical="center" shrinkToFit="1"/>
    </xf>
    <xf numFmtId="0" fontId="21" fillId="0" borderId="17" xfId="15" applyNumberFormat="1" applyFont="1" applyFill="1" applyBorder="1" applyAlignment="1">
      <alignment vertical="center"/>
    </xf>
    <xf numFmtId="0" fontId="21" fillId="0" borderId="19" xfId="11" applyFont="1" applyBorder="1" applyAlignment="1">
      <alignment vertical="center"/>
    </xf>
    <xf numFmtId="10" fontId="21" fillId="0" borderId="19" xfId="15" applyNumberFormat="1" applyFont="1" applyFill="1" applyBorder="1" applyAlignment="1">
      <alignment horizontal="left" vertical="center" shrinkToFit="1"/>
    </xf>
    <xf numFmtId="0" fontId="21" fillId="0" borderId="19" xfId="11" applyFont="1" applyBorder="1" applyAlignment="1">
      <alignment horizontal="center" vertical="center" shrinkToFit="1"/>
    </xf>
    <xf numFmtId="0" fontId="21" fillId="0" borderId="18" xfId="11" applyFont="1" applyBorder="1" applyAlignment="1">
      <alignment horizontal="center" vertical="center" shrinkToFit="1"/>
    </xf>
    <xf numFmtId="0" fontId="19" fillId="0" borderId="7" xfId="11" applyNumberFormat="1" applyFont="1" applyBorder="1" applyAlignment="1">
      <alignment horizontal="center" vertical="center"/>
    </xf>
    <xf numFmtId="0" fontId="19" fillId="0" borderId="7" xfId="11" applyNumberFormat="1" applyFont="1" applyBorder="1" applyAlignment="1">
      <alignment vertical="center"/>
    </xf>
    <xf numFmtId="10" fontId="19" fillId="0" borderId="7" xfId="21" applyNumberFormat="1" applyFont="1" applyFill="1" applyBorder="1" applyAlignment="1">
      <alignment vertical="center"/>
    </xf>
    <xf numFmtId="10" fontId="19" fillId="0" borderId="63" xfId="21" applyNumberFormat="1" applyFont="1" applyFill="1" applyBorder="1" applyAlignment="1">
      <alignment vertical="center"/>
    </xf>
    <xf numFmtId="10" fontId="19" fillId="0" borderId="19" xfId="24" applyNumberFormat="1" applyFont="1" applyBorder="1" applyAlignment="1">
      <alignment vertical="center"/>
    </xf>
    <xf numFmtId="10" fontId="19" fillId="0" borderId="19" xfId="21" applyNumberFormat="1" applyFont="1" applyFill="1" applyBorder="1" applyAlignment="1">
      <alignment vertical="center"/>
    </xf>
    <xf numFmtId="10" fontId="19" fillId="0" borderId="18" xfId="21" applyNumberFormat="1" applyFont="1" applyFill="1" applyBorder="1" applyAlignment="1">
      <alignment vertical="center"/>
    </xf>
    <xf numFmtId="10" fontId="19" fillId="0" borderId="19" xfId="11" applyNumberFormat="1" applyFont="1" applyBorder="1" applyAlignment="1">
      <alignment vertical="center"/>
    </xf>
    <xf numFmtId="0" fontId="21" fillId="0" borderId="16" xfId="11" applyFont="1" applyBorder="1" applyAlignment="1">
      <alignment vertical="center"/>
    </xf>
    <xf numFmtId="0" fontId="19" fillId="0" borderId="7" xfId="31" applyNumberFormat="1" applyFont="1" applyBorder="1" applyAlignment="1">
      <alignment horizontal="center" vertical="center"/>
    </xf>
    <xf numFmtId="0" fontId="19" fillId="0" borderId="7" xfId="11" applyFont="1" applyBorder="1" applyAlignment="1">
      <alignment horizontal="center" vertical="center"/>
    </xf>
    <xf numFmtId="0" fontId="19" fillId="0" borderId="16" xfId="11" applyFont="1" applyBorder="1" applyAlignment="1">
      <alignment horizontal="justify" vertical="center" wrapText="1"/>
    </xf>
    <xf numFmtId="0" fontId="19" fillId="0" borderId="21" xfId="11" applyFont="1" applyBorder="1" applyAlignment="1">
      <alignment horizontal="justify" vertical="center" wrapText="1"/>
    </xf>
    <xf numFmtId="0" fontId="19" fillId="0" borderId="7" xfId="11" applyFont="1" applyBorder="1" applyAlignment="1">
      <alignment horizontal="justify" vertical="center" wrapText="1"/>
    </xf>
    <xf numFmtId="0" fontId="19" fillId="0" borderId="63" xfId="11" applyFont="1" applyBorder="1" applyAlignment="1">
      <alignment horizontal="justify" vertical="center" wrapText="1"/>
    </xf>
    <xf numFmtId="10" fontId="19" fillId="0" borderId="7" xfId="11" applyNumberFormat="1" applyFont="1" applyBorder="1" applyAlignment="1">
      <alignment vertical="center"/>
    </xf>
    <xf numFmtId="0" fontId="19" fillId="0" borderId="47" xfId="11" applyFont="1" applyBorder="1" applyAlignment="1">
      <alignment horizontal="justify" vertical="center" wrapText="1"/>
    </xf>
    <xf numFmtId="0" fontId="19" fillId="0" borderId="0" xfId="11" applyFont="1" applyBorder="1" applyAlignment="1">
      <alignment horizontal="justify" vertical="center" wrapText="1"/>
    </xf>
    <xf numFmtId="0" fontId="19" fillId="0" borderId="22" xfId="11" applyFont="1" applyBorder="1" applyAlignment="1">
      <alignment horizontal="justify" vertical="center" wrapText="1"/>
    </xf>
    <xf numFmtId="0" fontId="21" fillId="0" borderId="19" xfId="11" applyFont="1" applyFill="1" applyBorder="1" applyAlignment="1">
      <alignment vertical="center"/>
    </xf>
    <xf numFmtId="10" fontId="21" fillId="0" borderId="19" xfId="11" applyNumberFormat="1" applyFont="1" applyFill="1" applyBorder="1" applyAlignment="1">
      <alignment horizontal="center" vertical="center" shrinkToFit="1"/>
    </xf>
    <xf numFmtId="10" fontId="21" fillId="0" borderId="18" xfId="11" applyNumberFormat="1" applyFont="1" applyFill="1" applyBorder="1" applyAlignment="1">
      <alignment horizontal="center" vertical="center" shrinkToFit="1"/>
    </xf>
    <xf numFmtId="0" fontId="19" fillId="0" borderId="0" xfId="11" applyFont="1" applyBorder="1" applyAlignment="1">
      <alignment vertical="center" shrinkToFit="1"/>
    </xf>
    <xf numFmtId="0" fontId="19" fillId="0" borderId="22" xfId="11" applyFont="1" applyBorder="1" applyAlignment="1">
      <alignment vertical="center" shrinkToFit="1"/>
    </xf>
    <xf numFmtId="2" fontId="19" fillId="0" borderId="7" xfId="31" applyNumberFormat="1" applyFont="1" applyBorder="1" applyAlignment="1">
      <alignment horizontal="center" vertical="center"/>
    </xf>
    <xf numFmtId="0" fontId="19" fillId="0" borderId="19" xfId="11" applyFont="1" applyBorder="1" applyAlignment="1">
      <alignment horizontal="left" vertical="center"/>
    </xf>
    <xf numFmtId="49" fontId="24" fillId="0" borderId="19" xfId="11" applyNumberFormat="1" applyFont="1" applyBorder="1" applyAlignment="1">
      <alignment horizontal="center" vertical="center"/>
    </xf>
    <xf numFmtId="0" fontId="19" fillId="0" borderId="0" xfId="21" applyNumberFormat="1" applyFont="1" applyFill="1" applyBorder="1" applyAlignment="1">
      <alignment vertical="center"/>
    </xf>
    <xf numFmtId="0" fontId="19" fillId="0" borderId="0" xfId="6" applyNumberFormat="1" applyFont="1" applyFill="1" applyBorder="1" applyAlignment="1">
      <alignment vertical="center"/>
    </xf>
    <xf numFmtId="0" fontId="3" fillId="0" borderId="21" xfId="17" applyBorder="1" applyAlignment="1">
      <alignment horizontal="centerContinuous"/>
    </xf>
    <xf numFmtId="0" fontId="3" fillId="0" borderId="22" xfId="17" applyBorder="1" applyAlignment="1">
      <alignment horizontal="centerContinuous"/>
    </xf>
    <xf numFmtId="0" fontId="3" fillId="0" borderId="22" xfId="17" applyBorder="1"/>
    <xf numFmtId="0" fontId="3" fillId="0" borderId="0" xfId="17"/>
    <xf numFmtId="166" fontId="3" fillId="0" borderId="0" xfId="30" applyNumberFormat="1"/>
    <xf numFmtId="0" fontId="5" fillId="0" borderId="17" xfId="17" applyFont="1" applyFill="1" applyBorder="1"/>
    <xf numFmtId="0" fontId="3" fillId="0" borderId="19" xfId="17" applyFont="1" applyFill="1" applyBorder="1"/>
    <xf numFmtId="0" fontId="5" fillId="0" borderId="17" xfId="17" applyFont="1" applyFill="1" applyBorder="1" applyAlignment="1">
      <alignment horizontal="centerContinuous" vertical="center"/>
    </xf>
    <xf numFmtId="0" fontId="3" fillId="0" borderId="18" xfId="17" applyFont="1" applyFill="1" applyBorder="1" applyAlignment="1">
      <alignment horizontal="centerContinuous" vertical="center"/>
    </xf>
    <xf numFmtId="0" fontId="5" fillId="0" borderId="17" xfId="17" applyFont="1" applyFill="1" applyBorder="1" applyAlignment="1">
      <alignment vertical="center"/>
    </xf>
    <xf numFmtId="10" fontId="5" fillId="0" borderId="18" xfId="17" applyNumberFormat="1" applyFont="1" applyFill="1" applyBorder="1" applyAlignment="1" applyProtection="1">
      <alignment vertical="center"/>
    </xf>
    <xf numFmtId="0" fontId="3" fillId="0" borderId="11" xfId="17" applyFont="1" applyFill="1" applyBorder="1"/>
    <xf numFmtId="0" fontId="3" fillId="0" borderId="0" xfId="17" applyFont="1" applyFill="1" applyBorder="1"/>
    <xf numFmtId="10" fontId="3" fillId="0" borderId="11" xfId="17" applyNumberFormat="1" applyFont="1" applyFill="1" applyBorder="1" applyProtection="1"/>
    <xf numFmtId="10" fontId="3" fillId="0" borderId="22" xfId="17" applyNumberFormat="1" applyFont="1" applyFill="1" applyBorder="1" applyProtection="1"/>
    <xf numFmtId="9" fontId="3" fillId="0" borderId="0" xfId="17" applyNumberFormat="1" applyFont="1" applyFill="1" applyBorder="1"/>
    <xf numFmtId="0" fontId="3" fillId="0" borderId="11" xfId="17" applyFill="1" applyBorder="1"/>
    <xf numFmtId="0" fontId="5" fillId="0" borderId="19" xfId="17" applyFont="1" applyFill="1" applyBorder="1" applyAlignment="1">
      <alignment horizontal="centerContinuous" vertical="center"/>
    </xf>
    <xf numFmtId="0" fontId="3" fillId="0" borderId="0" xfId="17" applyFont="1" applyFill="1" applyBorder="1" applyAlignment="1">
      <alignment horizontal="left"/>
    </xf>
    <xf numFmtId="0" fontId="3" fillId="0" borderId="0" xfId="17" applyFont="1" applyFill="1" applyBorder="1" applyAlignment="1">
      <alignment horizontal="left" wrapText="1"/>
    </xf>
    <xf numFmtId="196" fontId="3" fillId="0" borderId="22" xfId="17" applyNumberFormat="1" applyFont="1" applyFill="1" applyBorder="1" applyAlignment="1" applyProtection="1">
      <alignment vertical="center"/>
    </xf>
    <xf numFmtId="0" fontId="3" fillId="0" borderId="0" xfId="17" applyFont="1" applyFill="1" applyBorder="1" applyAlignment="1">
      <alignment vertical="center"/>
    </xf>
    <xf numFmtId="10" fontId="3" fillId="0" borderId="64" xfId="17" applyNumberFormat="1" applyFont="1" applyFill="1" applyBorder="1" applyProtection="1"/>
    <xf numFmtId="0" fontId="4" fillId="9" borderId="17" xfId="17" applyFont="1" applyFill="1" applyBorder="1" applyAlignment="1">
      <alignment horizontal="centerContinuous" vertical="center"/>
    </xf>
    <xf numFmtId="0" fontId="5" fillId="9" borderId="19" xfId="17" applyFont="1" applyFill="1" applyBorder="1" applyAlignment="1">
      <alignment horizontal="centerContinuous" vertical="center"/>
    </xf>
    <xf numFmtId="0" fontId="5" fillId="9" borderId="17" xfId="17" applyFont="1" applyFill="1" applyBorder="1" applyAlignment="1">
      <alignment vertical="center"/>
    </xf>
    <xf numFmtId="10" fontId="4" fillId="9" borderId="18" xfId="17" applyNumberFormat="1" applyFont="1" applyFill="1" applyBorder="1" applyAlignment="1" applyProtection="1">
      <alignment vertical="center"/>
    </xf>
    <xf numFmtId="0" fontId="5" fillId="0" borderId="0" xfId="17" applyFont="1"/>
    <xf numFmtId="0" fontId="3" fillId="0" borderId="0" xfId="17" applyFont="1"/>
    <xf numFmtId="0" fontId="3" fillId="0" borderId="0" xfId="17" applyFont="1" applyBorder="1"/>
    <xf numFmtId="10" fontId="5" fillId="0" borderId="0" xfId="17" applyNumberFormat="1" applyFont="1" applyBorder="1" applyProtection="1"/>
    <xf numFmtId="10" fontId="3" fillId="0" borderId="0" xfId="17" applyNumberFormat="1" applyFont="1" applyBorder="1" applyAlignment="1" applyProtection="1">
      <alignment horizontal="left"/>
    </xf>
    <xf numFmtId="10" fontId="3" fillId="0" borderId="0" xfId="17" applyNumberFormat="1" applyFont="1" applyBorder="1" applyProtection="1"/>
    <xf numFmtId="0" fontId="19" fillId="0" borderId="11" xfId="15" applyNumberFormat="1" applyFont="1" applyFill="1" applyBorder="1" applyAlignment="1">
      <alignment vertical="center"/>
    </xf>
    <xf numFmtId="0" fontId="2" fillId="0" borderId="65" xfId="9" applyFont="1" applyFill="1" applyBorder="1" applyAlignment="1">
      <alignment horizontal="left"/>
    </xf>
    <xf numFmtId="40" fontId="27" fillId="0" borderId="45" xfId="9" applyNumberFormat="1" applyFont="1" applyFill="1" applyBorder="1" applyAlignment="1">
      <alignment horizontal="center"/>
    </xf>
    <xf numFmtId="40" fontId="27" fillId="0" borderId="46" xfId="9" applyNumberFormat="1" applyFont="1" applyFill="1" applyBorder="1" applyAlignment="1">
      <alignment horizontal="center"/>
    </xf>
    <xf numFmtId="1" fontId="3" fillId="0" borderId="13" xfId="12" applyNumberFormat="1" applyBorder="1" applyAlignment="1">
      <alignment horizontal="center"/>
    </xf>
    <xf numFmtId="1" fontId="5" fillId="0" borderId="13" xfId="12" applyNumberFormat="1" applyFont="1" applyFill="1" applyBorder="1" applyAlignment="1">
      <alignment horizontal="center"/>
    </xf>
    <xf numFmtId="1" fontId="3" fillId="0" borderId="0" xfId="22" applyNumberFormat="1" applyFont="1" applyBorder="1" applyAlignment="1">
      <alignment vertical="center"/>
    </xf>
    <xf numFmtId="1" fontId="5" fillId="0" borderId="0" xfId="12" applyNumberFormat="1" applyFont="1" applyBorder="1" applyAlignment="1">
      <alignment horizontal="center" vertical="center"/>
    </xf>
    <xf numFmtId="1" fontId="3" fillId="0" borderId="13" xfId="12" applyNumberFormat="1" applyBorder="1" applyAlignment="1">
      <alignment horizontal="center" vertical="center"/>
    </xf>
    <xf numFmtId="1" fontId="5" fillId="0" borderId="13" xfId="12" applyNumberFormat="1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92" fontId="3" fillId="0" borderId="11" xfId="29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vertical="center"/>
    </xf>
    <xf numFmtId="10" fontId="3" fillId="0" borderId="6" xfId="0" applyNumberFormat="1" applyFont="1" applyFill="1" applyBorder="1" applyAlignment="1">
      <alignment horizontal="center" vertical="center"/>
    </xf>
    <xf numFmtId="10" fontId="3" fillId="0" borderId="6" xfId="18" applyNumberFormat="1" applyFont="1" applyFill="1" applyBorder="1" applyAlignment="1">
      <alignment horizontal="center" vertical="center"/>
    </xf>
    <xf numFmtId="43" fontId="3" fillId="0" borderId="0" xfId="0" applyNumberFormat="1" applyFont="1" applyFill="1" applyAlignment="1">
      <alignment vertical="center"/>
    </xf>
    <xf numFmtId="193" fontId="3" fillId="0" borderId="0" xfId="0" applyNumberFormat="1" applyFont="1" applyFill="1" applyAlignment="1">
      <alignment vertical="center"/>
    </xf>
    <xf numFmtId="166" fontId="3" fillId="0" borderId="41" xfId="0" applyNumberFormat="1" applyFont="1" applyFill="1" applyBorder="1" applyAlignment="1">
      <alignment vertical="center"/>
    </xf>
    <xf numFmtId="166" fontId="5" fillId="0" borderId="54" xfId="0" applyNumberFormat="1" applyFont="1" applyFill="1" applyBorder="1" applyAlignment="1">
      <alignment vertical="center"/>
    </xf>
    <xf numFmtId="0" fontId="5" fillId="0" borderId="41" xfId="0" applyFont="1" applyFill="1" applyBorder="1" applyAlignment="1">
      <alignment horizontal="center" vertical="center"/>
    </xf>
    <xf numFmtId="9" fontId="3" fillId="0" borderId="6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4" fillId="0" borderId="66" xfId="9" applyFont="1" applyFill="1" applyBorder="1" applyAlignment="1">
      <alignment horizontal="left"/>
    </xf>
    <xf numFmtId="0" fontId="14" fillId="0" borderId="0" xfId="9" applyFont="1" applyFill="1" applyBorder="1" applyAlignment="1">
      <alignment horizontal="left"/>
    </xf>
    <xf numFmtId="40" fontId="14" fillId="0" borderId="0" xfId="9" applyNumberFormat="1" applyFont="1" applyFill="1" applyBorder="1" applyAlignment="1">
      <alignment horizontal="center"/>
    </xf>
    <xf numFmtId="0" fontId="2" fillId="0" borderId="0" xfId="9" applyFont="1" applyFill="1" applyBorder="1" applyAlignment="1">
      <alignment horizontal="left"/>
    </xf>
    <xf numFmtId="40" fontId="2" fillId="0" borderId="0" xfId="9" applyNumberFormat="1" applyFont="1" applyFill="1" applyBorder="1" applyAlignment="1">
      <alignment horizontal="center"/>
    </xf>
    <xf numFmtId="40" fontId="2" fillId="0" borderId="67" xfId="9" applyNumberFormat="1" applyFont="1" applyFill="1" applyBorder="1" applyAlignment="1">
      <alignment horizontal="center"/>
    </xf>
    <xf numFmtId="0" fontId="3" fillId="0" borderId="13" xfId="12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39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6" fontId="3" fillId="0" borderId="71" xfId="28" applyFont="1" applyFill="1" applyBorder="1" applyAlignment="1">
      <alignment horizontal="center" vertical="center"/>
    </xf>
    <xf numFmtId="166" fontId="3" fillId="0" borderId="72" xfId="28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right" vertical="center"/>
    </xf>
    <xf numFmtId="193" fontId="3" fillId="0" borderId="16" xfId="18" applyNumberFormat="1" applyFont="1" applyBorder="1" applyAlignment="1">
      <alignment horizontal="center"/>
    </xf>
    <xf numFmtId="193" fontId="3" fillId="0" borderId="21" xfId="18" applyNumberFormat="1" applyFont="1" applyBorder="1" applyAlignment="1">
      <alignment horizontal="center"/>
    </xf>
    <xf numFmtId="0" fontId="3" fillId="6" borderId="13" xfId="9" applyFont="1" applyFill="1" applyBorder="1" applyAlignment="1">
      <alignment horizontal="center"/>
    </xf>
    <xf numFmtId="0" fontId="14" fillId="0" borderId="109" xfId="9" applyFont="1" applyFill="1" applyBorder="1" applyAlignment="1">
      <alignment horizontal="center"/>
    </xf>
    <xf numFmtId="0" fontId="14" fillId="0" borderId="110" xfId="9" applyFont="1" applyFill="1" applyBorder="1" applyAlignment="1">
      <alignment horizontal="center"/>
    </xf>
    <xf numFmtId="0" fontId="14" fillId="0" borderId="111" xfId="9" applyFont="1" applyFill="1" applyBorder="1" applyAlignment="1">
      <alignment horizontal="center"/>
    </xf>
    <xf numFmtId="0" fontId="11" fillId="6" borderId="0" xfId="9" applyFont="1" applyFill="1" applyAlignment="1">
      <alignment horizontal="center"/>
    </xf>
    <xf numFmtId="39" fontId="5" fillId="6" borderId="17" xfId="14" applyNumberFormat="1" applyFont="1" applyFill="1" applyBorder="1" applyAlignment="1" applyProtection="1">
      <alignment horizontal="center" vertical="center"/>
    </xf>
    <xf numFmtId="39" fontId="5" fillId="6" borderId="19" xfId="14" applyNumberFormat="1" applyFont="1" applyFill="1" applyBorder="1" applyAlignment="1" applyProtection="1">
      <alignment horizontal="center" vertical="center"/>
    </xf>
    <xf numFmtId="39" fontId="5" fillId="6" borderId="18" xfId="14" applyNumberFormat="1" applyFont="1" applyFill="1" applyBorder="1" applyAlignment="1" applyProtection="1">
      <alignment horizontal="center" vertical="center"/>
    </xf>
    <xf numFmtId="0" fontId="5" fillId="6" borderId="13" xfId="9" applyFont="1" applyFill="1" applyBorder="1" applyAlignment="1">
      <alignment horizontal="center"/>
    </xf>
    <xf numFmtId="39" fontId="5" fillId="6" borderId="17" xfId="14" applyNumberFormat="1" applyFont="1" applyFill="1" applyBorder="1" applyAlignment="1" applyProtection="1">
      <alignment horizontal="center"/>
    </xf>
    <xf numFmtId="39" fontId="5" fillId="6" borderId="19" xfId="14" applyNumberFormat="1" applyFont="1" applyFill="1" applyBorder="1" applyAlignment="1" applyProtection="1">
      <alignment horizontal="center"/>
    </xf>
    <xf numFmtId="39" fontId="5" fillId="6" borderId="18" xfId="14" applyNumberFormat="1" applyFont="1" applyFill="1" applyBorder="1" applyAlignment="1" applyProtection="1">
      <alignment horizontal="center"/>
    </xf>
    <xf numFmtId="39" fontId="5" fillId="0" borderId="17" xfId="14" applyNumberFormat="1" applyFont="1" applyFill="1" applyBorder="1" applyAlignment="1" applyProtection="1">
      <alignment horizontal="center"/>
    </xf>
    <xf numFmtId="39" fontId="5" fillId="0" borderId="19" xfId="14" applyNumberFormat="1" applyFont="1" applyFill="1" applyBorder="1" applyAlignment="1" applyProtection="1">
      <alignment horizontal="center"/>
    </xf>
    <xf numFmtId="39" fontId="5" fillId="0" borderId="18" xfId="14" applyNumberFormat="1" applyFont="1" applyFill="1" applyBorder="1" applyAlignment="1" applyProtection="1">
      <alignment horizontal="center"/>
    </xf>
    <xf numFmtId="0" fontId="5" fillId="0" borderId="17" xfId="14" applyFont="1" applyFill="1" applyBorder="1" applyAlignment="1">
      <alignment horizontal="center" vertical="center"/>
    </xf>
    <xf numFmtId="0" fontId="5" fillId="0" borderId="19" xfId="14" applyFont="1" applyFill="1" applyBorder="1" applyAlignment="1">
      <alignment horizontal="center" vertical="center"/>
    </xf>
    <xf numFmtId="0" fontId="5" fillId="0" borderId="18" xfId="14" applyFont="1" applyFill="1" applyBorder="1" applyAlignment="1">
      <alignment horizontal="center" vertical="center"/>
    </xf>
    <xf numFmtId="40" fontId="2" fillId="0" borderId="45" xfId="9" applyNumberFormat="1" applyFont="1" applyFill="1" applyBorder="1" applyAlignment="1">
      <alignment horizontal="center"/>
    </xf>
    <xf numFmtId="40" fontId="2" fillId="0" borderId="119" xfId="9" applyNumberFormat="1" applyFont="1" applyFill="1" applyBorder="1" applyAlignment="1">
      <alignment horizontal="center"/>
    </xf>
    <xf numFmtId="40" fontId="14" fillId="0" borderId="86" xfId="9" applyNumberFormat="1" applyFont="1" applyFill="1" applyBorder="1" applyAlignment="1">
      <alignment horizontal="center"/>
    </xf>
    <xf numFmtId="40" fontId="14" fillId="0" borderId="87" xfId="9" applyNumberFormat="1" applyFont="1" applyFill="1" applyBorder="1" applyAlignment="1">
      <alignment horizontal="center"/>
    </xf>
    <xf numFmtId="0" fontId="3" fillId="0" borderId="13" xfId="14" applyFont="1" applyFill="1" applyBorder="1" applyAlignment="1"/>
    <xf numFmtId="0" fontId="3" fillId="0" borderId="13" xfId="0" applyFont="1" applyFill="1" applyBorder="1" applyAlignment="1"/>
    <xf numFmtId="166" fontId="3" fillId="0" borderId="13" xfId="29" applyFont="1" applyFill="1" applyBorder="1" applyAlignment="1" applyProtection="1"/>
    <xf numFmtId="39" fontId="5" fillId="0" borderId="17" xfId="14" applyNumberFormat="1" applyFont="1" applyFill="1" applyBorder="1" applyAlignment="1" applyProtection="1"/>
    <xf numFmtId="0" fontId="3" fillId="0" borderId="18" xfId="0" applyFont="1" applyFill="1" applyBorder="1" applyAlignment="1"/>
    <xf numFmtId="166" fontId="3" fillId="0" borderId="17" xfId="29" applyFont="1" applyFill="1" applyBorder="1" applyAlignment="1" applyProtection="1"/>
    <xf numFmtId="166" fontId="5" fillId="0" borderId="17" xfId="29" applyFont="1" applyFill="1" applyBorder="1" applyAlignment="1" applyProtection="1"/>
    <xf numFmtId="166" fontId="3" fillId="0" borderId="18" xfId="29" applyFont="1" applyFill="1" applyBorder="1" applyAlignment="1" applyProtection="1"/>
    <xf numFmtId="166" fontId="5" fillId="0" borderId="18" xfId="29" applyFont="1" applyFill="1" applyBorder="1" applyAlignment="1" applyProtection="1"/>
    <xf numFmtId="0" fontId="3" fillId="0" borderId="17" xfId="14" applyFont="1" applyFill="1" applyBorder="1" applyAlignment="1"/>
    <xf numFmtId="0" fontId="3" fillId="0" borderId="19" xfId="14" applyFont="1" applyFill="1" applyBorder="1" applyAlignment="1"/>
    <xf numFmtId="0" fontId="3" fillId="0" borderId="18" xfId="14" applyFont="1" applyFill="1" applyBorder="1" applyAlignment="1"/>
    <xf numFmtId="39" fontId="5" fillId="0" borderId="18" xfId="14" applyNumberFormat="1" applyFont="1" applyFill="1" applyBorder="1" applyAlignment="1" applyProtection="1"/>
    <xf numFmtId="166" fontId="5" fillId="6" borderId="17" xfId="29" applyFont="1" applyFill="1" applyBorder="1" applyAlignment="1" applyProtection="1"/>
    <xf numFmtId="0" fontId="3" fillId="6" borderId="18" xfId="0" applyFont="1" applyFill="1" applyBorder="1" applyAlignment="1"/>
    <xf numFmtId="190" fontId="11" fillId="0" borderId="0" xfId="9" applyNumberFormat="1" applyFont="1" applyBorder="1" applyAlignment="1">
      <alignment horizontal="center" vertical="center"/>
    </xf>
    <xf numFmtId="167" fontId="3" fillId="0" borderId="19" xfId="18" applyNumberFormat="1" applyFont="1" applyBorder="1" applyAlignment="1">
      <alignment horizontal="center"/>
    </xf>
    <xf numFmtId="167" fontId="3" fillId="0" borderId="18" xfId="18" applyNumberFormat="1" applyFont="1" applyBorder="1" applyAlignment="1">
      <alignment horizontal="center"/>
    </xf>
    <xf numFmtId="0" fontId="12" fillId="0" borderId="12" xfId="9" applyFont="1" applyBorder="1" applyAlignment="1">
      <alignment horizontal="center" vertical="center"/>
    </xf>
    <xf numFmtId="0" fontId="5" fillId="0" borderId="13" xfId="9" applyFont="1" applyBorder="1" applyAlignment="1">
      <alignment horizontal="center" vertical="center"/>
    </xf>
    <xf numFmtId="0" fontId="5" fillId="0" borderId="13" xfId="9" applyFont="1" applyBorder="1" applyAlignment="1">
      <alignment horizontal="left" vertical="center" wrapText="1"/>
    </xf>
    <xf numFmtId="0" fontId="5" fillId="0" borderId="13" xfId="9" applyFont="1" applyBorder="1" applyAlignment="1">
      <alignment horizontal="left" vertical="center"/>
    </xf>
    <xf numFmtId="0" fontId="2" fillId="0" borderId="105" xfId="9" applyFont="1" applyFill="1" applyBorder="1" applyAlignment="1">
      <alignment horizontal="center"/>
    </xf>
    <xf numFmtId="0" fontId="2" fillId="0" borderId="106" xfId="9" applyFont="1" applyFill="1" applyBorder="1" applyAlignment="1">
      <alignment horizontal="center"/>
    </xf>
    <xf numFmtId="0" fontId="14" fillId="0" borderId="90" xfId="9" applyFont="1" applyFill="1" applyBorder="1" applyAlignment="1">
      <alignment horizontal="center"/>
    </xf>
    <xf numFmtId="0" fontId="14" fillId="0" borderId="91" xfId="9" applyFont="1" applyFill="1" applyBorder="1" applyAlignment="1">
      <alignment horizontal="center"/>
    </xf>
    <xf numFmtId="0" fontId="2" fillId="0" borderId="27" xfId="9" applyFont="1" applyFill="1" applyBorder="1" applyAlignment="1">
      <alignment horizontal="left"/>
    </xf>
    <xf numFmtId="0" fontId="2" fillId="0" borderId="104" xfId="9" applyFont="1" applyFill="1" applyBorder="1" applyAlignment="1">
      <alignment horizontal="left"/>
    </xf>
    <xf numFmtId="40" fontId="2" fillId="0" borderId="104" xfId="9" applyNumberFormat="1" applyFont="1" applyFill="1" applyBorder="1" applyAlignment="1">
      <alignment horizontal="center"/>
    </xf>
    <xf numFmtId="40" fontId="2" fillId="0" borderId="107" xfId="9" applyNumberFormat="1" applyFont="1" applyFill="1" applyBorder="1" applyAlignment="1">
      <alignment horizontal="center"/>
    </xf>
    <xf numFmtId="40" fontId="2" fillId="0" borderId="101" xfId="9" applyNumberFormat="1" applyFont="1" applyFill="1" applyBorder="1" applyAlignment="1">
      <alignment horizontal="center"/>
    </xf>
    <xf numFmtId="40" fontId="2" fillId="0" borderId="102" xfId="9" applyNumberFormat="1" applyFont="1" applyFill="1" applyBorder="1" applyAlignment="1">
      <alignment horizontal="center"/>
    </xf>
    <xf numFmtId="0" fontId="2" fillId="0" borderId="28" xfId="9" applyFont="1" applyFill="1" applyBorder="1" applyAlignment="1">
      <alignment horizontal="left"/>
    </xf>
    <xf numFmtId="0" fontId="2" fillId="0" borderId="74" xfId="9" applyFont="1" applyFill="1" applyBorder="1" applyAlignment="1">
      <alignment horizontal="left"/>
    </xf>
    <xf numFmtId="40" fontId="2" fillId="0" borderId="120" xfId="9" applyNumberFormat="1" applyFont="1" applyFill="1" applyBorder="1" applyAlignment="1">
      <alignment horizontal="center"/>
    </xf>
    <xf numFmtId="40" fontId="2" fillId="0" borderId="121" xfId="9" applyNumberFormat="1" applyFont="1" applyFill="1" applyBorder="1" applyAlignment="1">
      <alignment horizontal="center"/>
    </xf>
    <xf numFmtId="0" fontId="14" fillId="0" borderId="108" xfId="9" applyFont="1" applyFill="1" applyBorder="1" applyAlignment="1">
      <alignment horizontal="left"/>
    </xf>
    <xf numFmtId="0" fontId="14" fillId="0" borderId="105" xfId="9" applyFont="1" applyFill="1" applyBorder="1" applyAlignment="1">
      <alignment horizontal="left"/>
    </xf>
    <xf numFmtId="40" fontId="14" fillId="0" borderId="96" xfId="9" applyNumberFormat="1" applyFont="1" applyFill="1" applyBorder="1" applyAlignment="1">
      <alignment horizontal="center"/>
    </xf>
    <xf numFmtId="40" fontId="14" fillId="0" borderId="97" xfId="9" applyNumberFormat="1" applyFont="1" applyFill="1" applyBorder="1" applyAlignment="1">
      <alignment horizontal="center"/>
    </xf>
    <xf numFmtId="0" fontId="2" fillId="0" borderId="26" xfId="9" applyFont="1" applyFill="1" applyBorder="1" applyAlignment="1">
      <alignment horizontal="left"/>
    </xf>
    <xf numFmtId="0" fontId="2" fillId="0" borderId="29" xfId="9" applyFont="1" applyFill="1" applyBorder="1" applyAlignment="1">
      <alignment horizontal="left"/>
    </xf>
    <xf numFmtId="0" fontId="14" fillId="0" borderId="31" xfId="9" applyFont="1" applyFill="1" applyBorder="1" applyAlignment="1">
      <alignment horizontal="left"/>
    </xf>
    <xf numFmtId="0" fontId="14" fillId="0" borderId="88" xfId="9" applyFont="1" applyFill="1" applyBorder="1" applyAlignment="1">
      <alignment horizontal="left"/>
    </xf>
    <xf numFmtId="40" fontId="14" fillId="5" borderId="103" xfId="9" applyNumberFormat="1" applyFont="1" applyFill="1" applyBorder="1" applyAlignment="1">
      <alignment horizontal="center"/>
    </xf>
    <xf numFmtId="40" fontId="14" fillId="5" borderId="89" xfId="9" applyNumberFormat="1" applyFont="1" applyFill="1" applyBorder="1" applyAlignment="1">
      <alignment horizontal="center"/>
    </xf>
    <xf numFmtId="0" fontId="5" fillId="6" borderId="66" xfId="9" applyFont="1" applyFill="1" applyBorder="1" applyAlignment="1">
      <alignment horizontal="center"/>
    </xf>
    <xf numFmtId="0" fontId="5" fillId="6" borderId="0" xfId="9" applyFont="1" applyFill="1" applyBorder="1" applyAlignment="1">
      <alignment horizontal="center"/>
    </xf>
    <xf numFmtId="40" fontId="5" fillId="6" borderId="88" xfId="9" applyNumberFormat="1" applyFont="1" applyFill="1" applyBorder="1" applyAlignment="1">
      <alignment horizontal="center"/>
    </xf>
    <xf numFmtId="40" fontId="5" fillId="6" borderId="89" xfId="9" applyNumberFormat="1" applyFont="1" applyFill="1" applyBorder="1" applyAlignment="1">
      <alignment horizontal="center"/>
    </xf>
    <xf numFmtId="0" fontId="14" fillId="0" borderId="31" xfId="9" applyFont="1" applyFill="1" applyBorder="1" applyAlignment="1">
      <alignment horizontal="center"/>
    </xf>
    <xf numFmtId="0" fontId="14" fillId="0" borderId="88" xfId="9" applyFont="1" applyFill="1" applyBorder="1" applyAlignment="1">
      <alignment horizontal="center"/>
    </xf>
    <xf numFmtId="0" fontId="14" fillId="0" borderId="89" xfId="9" applyFont="1" applyFill="1" applyBorder="1" applyAlignment="1">
      <alignment horizontal="center"/>
    </xf>
    <xf numFmtId="0" fontId="14" fillId="0" borderId="30" xfId="9" applyFont="1" applyFill="1" applyBorder="1" applyAlignment="1">
      <alignment horizontal="left"/>
    </xf>
    <xf numFmtId="0" fontId="14" fillId="0" borderId="85" xfId="9" applyFont="1" applyFill="1" applyBorder="1" applyAlignment="1">
      <alignment horizontal="left"/>
    </xf>
    <xf numFmtId="40" fontId="2" fillId="0" borderId="92" xfId="9" applyNumberFormat="1" applyFont="1" applyFill="1" applyBorder="1" applyAlignment="1">
      <alignment horizontal="center"/>
    </xf>
    <xf numFmtId="40" fontId="2" fillId="0" borderId="93" xfId="9" applyNumberFormat="1" applyFont="1" applyFill="1" applyBorder="1" applyAlignment="1">
      <alignment horizontal="center"/>
    </xf>
    <xf numFmtId="0" fontId="14" fillId="0" borderId="28" xfId="9" applyFont="1" applyFill="1" applyBorder="1" applyAlignment="1">
      <alignment horizontal="left"/>
    </xf>
    <xf numFmtId="0" fontId="14" fillId="0" borderId="74" xfId="9" applyFont="1" applyFill="1" applyBorder="1" applyAlignment="1">
      <alignment horizontal="left"/>
    </xf>
    <xf numFmtId="40" fontId="14" fillId="0" borderId="74" xfId="9" applyNumberFormat="1" applyFont="1" applyFill="1" applyBorder="1" applyAlignment="1">
      <alignment horizontal="center"/>
    </xf>
    <xf numFmtId="40" fontId="14" fillId="0" borderId="75" xfId="9" applyNumberFormat="1" applyFont="1" applyFill="1" applyBorder="1" applyAlignment="1">
      <alignment horizontal="center"/>
    </xf>
    <xf numFmtId="40" fontId="14" fillId="0" borderId="103" xfId="9" applyNumberFormat="1" applyFont="1" applyFill="1" applyBorder="1" applyAlignment="1">
      <alignment horizontal="center"/>
    </xf>
    <xf numFmtId="40" fontId="14" fillId="0" borderId="89" xfId="9" applyNumberFormat="1" applyFont="1" applyFill="1" applyBorder="1" applyAlignment="1">
      <alignment horizontal="center"/>
    </xf>
    <xf numFmtId="0" fontId="14" fillId="6" borderId="80" xfId="9" applyFont="1" applyFill="1" applyBorder="1" applyAlignment="1">
      <alignment horizontal="center"/>
    </xf>
    <xf numFmtId="0" fontId="14" fillId="6" borderId="81" xfId="9" applyFont="1" applyFill="1" applyBorder="1" applyAlignment="1">
      <alignment horizontal="center"/>
    </xf>
    <xf numFmtId="191" fontId="5" fillId="6" borderId="82" xfId="9" applyNumberFormat="1" applyFont="1" applyFill="1" applyBorder="1" applyAlignment="1">
      <alignment horizontal="center"/>
    </xf>
    <xf numFmtId="0" fontId="5" fillId="6" borderId="83" xfId="9" applyFont="1" applyFill="1" applyBorder="1" applyAlignment="1">
      <alignment horizontal="center"/>
    </xf>
    <xf numFmtId="0" fontId="2" fillId="0" borderId="32" xfId="9" applyFont="1" applyFill="1" applyBorder="1" applyAlignment="1">
      <alignment horizontal="left"/>
    </xf>
    <xf numFmtId="0" fontId="2" fillId="0" borderId="92" xfId="9" applyFont="1" applyFill="1" applyBorder="1" applyAlignment="1">
      <alignment horizontal="left"/>
    </xf>
    <xf numFmtId="0" fontId="5" fillId="6" borderId="80" xfId="9" applyFont="1" applyFill="1" applyBorder="1" applyAlignment="1">
      <alignment horizontal="center"/>
    </xf>
    <xf numFmtId="0" fontId="5" fillId="6" borderId="81" xfId="9" applyFont="1" applyFill="1" applyBorder="1" applyAlignment="1">
      <alignment horizontal="center"/>
    </xf>
    <xf numFmtId="0" fontId="2" fillId="0" borderId="65" xfId="9" applyFont="1" applyFill="1" applyBorder="1" applyAlignment="1">
      <alignment horizontal="left"/>
    </xf>
    <xf numFmtId="40" fontId="2" fillId="0" borderId="124" xfId="9" applyNumberFormat="1" applyFont="1" applyFill="1" applyBorder="1" applyAlignment="1">
      <alignment horizontal="center"/>
    </xf>
    <xf numFmtId="40" fontId="2" fillId="0" borderId="125" xfId="9" applyNumberFormat="1" applyFont="1" applyFill="1" applyBorder="1" applyAlignment="1">
      <alignment horizontal="center"/>
    </xf>
    <xf numFmtId="0" fontId="2" fillId="0" borderId="98" xfId="9" applyFont="1" applyFill="1" applyBorder="1" applyAlignment="1">
      <alignment horizontal="left"/>
    </xf>
    <xf numFmtId="0" fontId="2" fillId="0" borderId="99" xfId="9" applyFont="1" applyFill="1" applyBorder="1" applyAlignment="1">
      <alignment horizontal="left"/>
    </xf>
    <xf numFmtId="0" fontId="2" fillId="0" borderId="100" xfId="9" applyFont="1" applyFill="1" applyBorder="1" applyAlignment="1">
      <alignment horizontal="left"/>
    </xf>
    <xf numFmtId="40" fontId="2" fillId="0" borderId="122" xfId="9" applyNumberFormat="1" applyFont="1" applyFill="1" applyBorder="1" applyAlignment="1">
      <alignment horizontal="center"/>
    </xf>
    <xf numFmtId="40" fontId="2" fillId="0" borderId="123" xfId="9" applyNumberFormat="1" applyFont="1" applyFill="1" applyBorder="1" applyAlignment="1">
      <alignment horizontal="center"/>
    </xf>
    <xf numFmtId="0" fontId="14" fillId="0" borderId="26" xfId="9" applyFont="1" applyFill="1" applyBorder="1" applyAlignment="1">
      <alignment horizontal="left"/>
    </xf>
    <xf numFmtId="0" fontId="14" fillId="0" borderId="29" xfId="9" applyFont="1" applyFill="1" applyBorder="1" applyAlignment="1">
      <alignment horizontal="left"/>
    </xf>
    <xf numFmtId="0" fontId="14" fillId="0" borderId="65" xfId="9" applyFont="1" applyFill="1" applyBorder="1" applyAlignment="1">
      <alignment horizontal="left"/>
    </xf>
    <xf numFmtId="40" fontId="14" fillId="0" borderId="45" xfId="9" applyNumberFormat="1" applyFont="1" applyFill="1" applyBorder="1" applyAlignment="1">
      <alignment horizontal="center"/>
    </xf>
    <xf numFmtId="40" fontId="14" fillId="0" borderId="119" xfId="9" applyNumberFormat="1" applyFont="1" applyFill="1" applyBorder="1" applyAlignment="1">
      <alignment horizontal="center"/>
    </xf>
    <xf numFmtId="0" fontId="14" fillId="0" borderId="95" xfId="9" applyFont="1" applyFill="1" applyBorder="1" applyAlignment="1">
      <alignment horizontal="left"/>
    </xf>
    <xf numFmtId="40" fontId="14" fillId="0" borderId="78" xfId="9" applyNumberFormat="1" applyFont="1" applyFill="1" applyBorder="1" applyAlignment="1">
      <alignment horizontal="center"/>
    </xf>
    <xf numFmtId="40" fontId="14" fillId="0" borderId="79" xfId="9" applyNumberFormat="1" applyFont="1" applyFill="1" applyBorder="1" applyAlignment="1">
      <alignment horizontal="center"/>
    </xf>
    <xf numFmtId="0" fontId="14" fillId="0" borderId="76" xfId="9" applyFont="1" applyFill="1" applyBorder="1" applyAlignment="1">
      <alignment horizontal="left"/>
    </xf>
    <xf numFmtId="0" fontId="14" fillId="0" borderId="77" xfId="9" applyFont="1" applyFill="1" applyBorder="1" applyAlignment="1">
      <alignment horizontal="left"/>
    </xf>
    <xf numFmtId="40" fontId="14" fillId="0" borderId="77" xfId="9" applyNumberFormat="1" applyFont="1" applyFill="1" applyBorder="1" applyAlignment="1">
      <alignment horizontal="center"/>
    </xf>
    <xf numFmtId="40" fontId="14" fillId="0" borderId="94" xfId="9" applyNumberFormat="1" applyFont="1" applyFill="1" applyBorder="1" applyAlignment="1">
      <alignment horizontal="center"/>
    </xf>
    <xf numFmtId="191" fontId="3" fillId="0" borderId="0" xfId="9" applyNumberFormat="1" applyAlignment="1">
      <alignment horizontal="center"/>
    </xf>
    <xf numFmtId="0" fontId="5" fillId="6" borderId="84" xfId="9" applyFont="1" applyFill="1" applyBorder="1" applyAlignment="1">
      <alignment horizontal="center" vertical="center"/>
    </xf>
    <xf numFmtId="193" fontId="5" fillId="6" borderId="84" xfId="9" applyNumberFormat="1" applyFont="1" applyFill="1" applyBorder="1" applyAlignment="1">
      <alignment horizontal="center" vertical="center"/>
    </xf>
    <xf numFmtId="193" fontId="3" fillId="0" borderId="19" xfId="4" applyNumberFormat="1" applyFont="1" applyBorder="1" applyAlignment="1">
      <alignment horizontal="center"/>
    </xf>
    <xf numFmtId="193" fontId="3" fillId="0" borderId="18" xfId="4" applyNumberFormat="1" applyFont="1" applyBorder="1" applyAlignment="1">
      <alignment horizontal="center"/>
    </xf>
    <xf numFmtId="0" fontId="14" fillId="0" borderId="112" xfId="9" applyFont="1" applyFill="1" applyBorder="1" applyAlignment="1">
      <alignment horizontal="center"/>
    </xf>
    <xf numFmtId="0" fontId="14" fillId="0" borderId="113" xfId="9" applyFont="1" applyFill="1" applyBorder="1" applyAlignment="1">
      <alignment horizontal="center"/>
    </xf>
    <xf numFmtId="0" fontId="14" fillId="0" borderId="118" xfId="9" applyFont="1" applyFill="1" applyBorder="1" applyAlignment="1">
      <alignment horizontal="center"/>
    </xf>
    <xf numFmtId="0" fontId="3" fillId="6" borderId="66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5" fillId="6" borderId="0" xfId="9" applyFont="1" applyFill="1" applyAlignment="1">
      <alignment horizontal="center"/>
    </xf>
    <xf numFmtId="0" fontId="11" fillId="0" borderId="12" xfId="9" applyFont="1" applyBorder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3" xfId="9" applyFont="1" applyBorder="1" applyAlignment="1">
      <alignment horizontal="left" vertical="center" wrapText="1"/>
    </xf>
    <xf numFmtId="0" fontId="14" fillId="0" borderId="115" xfId="9" applyFont="1" applyFill="1" applyBorder="1" applyAlignment="1">
      <alignment horizontal="left"/>
    </xf>
    <xf numFmtId="0" fontId="14" fillId="0" borderId="116" xfId="9" applyFont="1" applyFill="1" applyBorder="1" applyAlignment="1">
      <alignment horizontal="left"/>
    </xf>
    <xf numFmtId="0" fontId="14" fillId="0" borderId="117" xfId="9" applyFont="1" applyFill="1" applyBorder="1" applyAlignment="1">
      <alignment horizontal="left"/>
    </xf>
    <xf numFmtId="0" fontId="14" fillId="0" borderId="114" xfId="9" applyFont="1" applyFill="1" applyBorder="1" applyAlignment="1">
      <alignment horizontal="left"/>
    </xf>
    <xf numFmtId="191" fontId="5" fillId="6" borderId="83" xfId="9" applyNumberFormat="1" applyFont="1" applyFill="1" applyBorder="1" applyAlignment="1">
      <alignment horizontal="center"/>
    </xf>
    <xf numFmtId="0" fontId="28" fillId="0" borderId="109" xfId="9" applyFont="1" applyFill="1" applyBorder="1" applyAlignment="1">
      <alignment horizontal="center"/>
    </xf>
    <xf numFmtId="0" fontId="28" fillId="0" borderId="110" xfId="9" applyFont="1" applyFill="1" applyBorder="1" applyAlignment="1">
      <alignment horizontal="center"/>
    </xf>
    <xf numFmtId="0" fontId="28" fillId="0" borderId="111" xfId="9" applyFont="1" applyFill="1" applyBorder="1" applyAlignment="1">
      <alignment horizontal="center"/>
    </xf>
    <xf numFmtId="40" fontId="27" fillId="0" borderId="45" xfId="9" applyNumberFormat="1" applyFont="1" applyFill="1" applyBorder="1" applyAlignment="1">
      <alignment horizontal="center"/>
    </xf>
    <xf numFmtId="40" fontId="27" fillId="0" borderId="46" xfId="9" applyNumberFormat="1" applyFont="1" applyFill="1" applyBorder="1" applyAlignment="1">
      <alignment horizontal="center"/>
    </xf>
    <xf numFmtId="40" fontId="2" fillId="0" borderId="103" xfId="9" applyNumberFormat="1" applyFont="1" applyFill="1" applyBorder="1" applyAlignment="1">
      <alignment horizontal="center"/>
    </xf>
    <xf numFmtId="40" fontId="2" fillId="0" borderId="89" xfId="9" applyNumberFormat="1" applyFont="1" applyFill="1" applyBorder="1" applyAlignment="1">
      <alignment horizontal="center"/>
    </xf>
    <xf numFmtId="40" fontId="27" fillId="0" borderId="101" xfId="9" applyNumberFormat="1" applyFont="1" applyFill="1" applyBorder="1" applyAlignment="1">
      <alignment horizontal="center"/>
    </xf>
    <xf numFmtId="40" fontId="27" fillId="0" borderId="102" xfId="9" applyNumberFormat="1" applyFont="1" applyFill="1" applyBorder="1" applyAlignment="1">
      <alignment horizontal="center"/>
    </xf>
    <xf numFmtId="40" fontId="27" fillId="0" borderId="119" xfId="9" applyNumberFormat="1" applyFont="1" applyFill="1" applyBorder="1" applyAlignment="1">
      <alignment horizontal="center"/>
    </xf>
    <xf numFmtId="40" fontId="28" fillId="0" borderId="45" xfId="9" applyNumberFormat="1" applyFont="1" applyFill="1" applyBorder="1" applyAlignment="1">
      <alignment horizontal="center"/>
    </xf>
    <xf numFmtId="40" fontId="28" fillId="0" borderId="46" xfId="9" applyNumberFormat="1" applyFont="1" applyFill="1" applyBorder="1" applyAlignment="1">
      <alignment horizontal="center"/>
    </xf>
    <xf numFmtId="40" fontId="28" fillId="0" borderId="86" xfId="9" applyNumberFormat="1" applyFont="1" applyFill="1" applyBorder="1" applyAlignment="1">
      <alignment horizontal="center"/>
    </xf>
    <xf numFmtId="40" fontId="28" fillId="0" borderId="87" xfId="9" applyNumberFormat="1" applyFont="1" applyFill="1" applyBorder="1" applyAlignment="1">
      <alignment horizontal="center"/>
    </xf>
    <xf numFmtId="40" fontId="28" fillId="0" borderId="103" xfId="9" applyNumberFormat="1" applyFont="1" applyFill="1" applyBorder="1" applyAlignment="1">
      <alignment horizontal="center"/>
    </xf>
    <xf numFmtId="40" fontId="28" fillId="0" borderId="89" xfId="9" applyNumberFormat="1" applyFont="1" applyFill="1" applyBorder="1" applyAlignment="1">
      <alignment horizontal="center"/>
    </xf>
    <xf numFmtId="0" fontId="5" fillId="0" borderId="80" xfId="9" applyFont="1" applyFill="1" applyBorder="1" applyAlignment="1">
      <alignment horizontal="center"/>
    </xf>
    <xf numFmtId="0" fontId="5" fillId="0" borderId="81" xfId="9" applyFont="1" applyFill="1" applyBorder="1" applyAlignment="1">
      <alignment horizontal="center"/>
    </xf>
    <xf numFmtId="191" fontId="5" fillId="0" borderId="82" xfId="9" applyNumberFormat="1" applyFont="1" applyFill="1" applyBorder="1" applyAlignment="1">
      <alignment horizontal="center"/>
    </xf>
    <xf numFmtId="0" fontId="5" fillId="0" borderId="83" xfId="9" applyFont="1" applyFill="1" applyBorder="1" applyAlignment="1">
      <alignment horizontal="center"/>
    </xf>
    <xf numFmtId="40" fontId="27" fillId="0" borderId="92" xfId="9" applyNumberFormat="1" applyFont="1" applyFill="1" applyBorder="1" applyAlignment="1">
      <alignment horizontal="center"/>
    </xf>
    <xf numFmtId="40" fontId="27" fillId="0" borderId="93" xfId="9" applyNumberFormat="1" applyFont="1" applyFill="1" applyBorder="1" applyAlignment="1">
      <alignment horizontal="center"/>
    </xf>
    <xf numFmtId="40" fontId="27" fillId="0" borderId="120" xfId="9" applyNumberFormat="1" applyFont="1" applyFill="1" applyBorder="1" applyAlignment="1">
      <alignment horizontal="center"/>
    </xf>
    <xf numFmtId="40" fontId="27" fillId="0" borderId="121" xfId="9" applyNumberFormat="1" applyFont="1" applyFill="1" applyBorder="1" applyAlignment="1">
      <alignment horizontal="center"/>
    </xf>
    <xf numFmtId="0" fontId="28" fillId="0" borderId="31" xfId="9" applyFont="1" applyFill="1" applyBorder="1" applyAlignment="1">
      <alignment horizontal="center"/>
    </xf>
    <xf numFmtId="0" fontId="28" fillId="0" borderId="88" xfId="9" applyFont="1" applyFill="1" applyBorder="1" applyAlignment="1">
      <alignment horizontal="center"/>
    </xf>
    <xf numFmtId="0" fontId="28" fillId="0" borderId="89" xfId="9" applyFont="1" applyFill="1" applyBorder="1" applyAlignment="1">
      <alignment horizontal="center"/>
    </xf>
    <xf numFmtId="40" fontId="27" fillId="0" borderId="74" xfId="9" applyNumberFormat="1" applyFont="1" applyFill="1" applyBorder="1" applyAlignment="1">
      <alignment horizontal="center"/>
    </xf>
    <xf numFmtId="40" fontId="27" fillId="0" borderId="75" xfId="9" applyNumberFormat="1" applyFont="1" applyFill="1" applyBorder="1" applyAlignment="1">
      <alignment horizontal="center"/>
    </xf>
    <xf numFmtId="0" fontId="14" fillId="0" borderId="30" xfId="9" applyFont="1" applyFill="1" applyBorder="1" applyAlignment="1">
      <alignment horizontal="center" wrapText="1"/>
    </xf>
    <xf numFmtId="0" fontId="14" fillId="0" borderId="85" xfId="9" applyFont="1" applyFill="1" applyBorder="1" applyAlignment="1">
      <alignment horizontal="center" wrapText="1"/>
    </xf>
    <xf numFmtId="0" fontId="14" fillId="0" borderId="95" xfId="9" applyFont="1" applyFill="1" applyBorder="1" applyAlignment="1">
      <alignment horizontal="center" wrapText="1"/>
    </xf>
    <xf numFmtId="40" fontId="27" fillId="0" borderId="78" xfId="9" applyNumberFormat="1" applyFont="1" applyFill="1" applyBorder="1" applyAlignment="1">
      <alignment horizontal="center"/>
    </xf>
    <xf numFmtId="40" fontId="27" fillId="0" borderId="79" xfId="9" applyNumberFormat="1" applyFont="1" applyFill="1" applyBorder="1" applyAlignment="1">
      <alignment horizontal="center"/>
    </xf>
    <xf numFmtId="39" fontId="5" fillId="0" borderId="17" xfId="14" applyNumberFormat="1" applyFont="1" applyFill="1" applyBorder="1" applyAlignment="1" applyProtection="1">
      <alignment horizontal="left"/>
    </xf>
    <xf numFmtId="39" fontId="5" fillId="0" borderId="19" xfId="14" applyNumberFormat="1" applyFont="1" applyFill="1" applyBorder="1" applyAlignment="1" applyProtection="1">
      <alignment horizontal="left"/>
    </xf>
    <xf numFmtId="0" fontId="3" fillId="0" borderId="19" xfId="0" applyFont="1" applyFill="1" applyBorder="1" applyAlignment="1"/>
    <xf numFmtId="0" fontId="14" fillId="0" borderId="112" xfId="9" applyFont="1" applyFill="1" applyBorder="1" applyAlignment="1">
      <alignment horizontal="center" wrapText="1"/>
    </xf>
    <xf numFmtId="0" fontId="14" fillId="0" borderId="113" xfId="9" applyFont="1" applyFill="1" applyBorder="1" applyAlignment="1">
      <alignment horizontal="center" wrapText="1"/>
    </xf>
    <xf numFmtId="0" fontId="3" fillId="0" borderId="0" xfId="12" applyAlignment="1">
      <alignment horizontal="center" vertical="center" wrapText="1"/>
    </xf>
    <xf numFmtId="0" fontId="5" fillId="0" borderId="17" xfId="12" applyFont="1" applyBorder="1" applyAlignment="1">
      <alignment horizontal="left"/>
    </xf>
    <xf numFmtId="0" fontId="5" fillId="0" borderId="19" xfId="12" applyFont="1" applyBorder="1" applyAlignment="1">
      <alignment horizontal="left"/>
    </xf>
    <xf numFmtId="0" fontId="5" fillId="0" borderId="18" xfId="12" applyFont="1" applyBorder="1" applyAlignment="1">
      <alignment horizontal="left"/>
    </xf>
    <xf numFmtId="0" fontId="5" fillId="0" borderId="13" xfId="12" applyFont="1" applyBorder="1" applyAlignment="1">
      <alignment horizontal="left"/>
    </xf>
    <xf numFmtId="0" fontId="5" fillId="0" borderId="0" xfId="12" applyFont="1" applyBorder="1" applyAlignment="1">
      <alignment horizontal="center" vertical="center"/>
    </xf>
    <xf numFmtId="0" fontId="5" fillId="0" borderId="17" xfId="12" applyFont="1" applyBorder="1" applyAlignment="1"/>
    <xf numFmtId="0" fontId="5" fillId="0" borderId="19" xfId="12" applyFont="1" applyBorder="1" applyAlignment="1"/>
    <xf numFmtId="0" fontId="5" fillId="0" borderId="18" xfId="12" applyFont="1" applyBorder="1" applyAlignment="1"/>
    <xf numFmtId="0" fontId="5" fillId="0" borderId="17" xfId="7" applyFont="1" applyBorder="1" applyAlignment="1">
      <alignment horizontal="center" vertical="center" wrapText="1"/>
    </xf>
    <xf numFmtId="0" fontId="5" fillId="0" borderId="18" xfId="7" applyFont="1" applyBorder="1" applyAlignment="1">
      <alignment horizontal="center" vertical="center" wrapText="1"/>
    </xf>
    <xf numFmtId="0" fontId="3" fillId="0" borderId="17" xfId="12" applyFont="1" applyBorder="1" applyAlignment="1">
      <alignment horizontal="left"/>
    </xf>
    <xf numFmtId="0" fontId="3" fillId="0" borderId="18" xfId="12" applyFont="1" applyBorder="1" applyAlignment="1">
      <alignment horizontal="left"/>
    </xf>
    <xf numFmtId="0" fontId="5" fillId="7" borderId="17" xfId="12" applyFont="1" applyFill="1" applyBorder="1" applyAlignment="1">
      <alignment horizontal="left" vertical="center"/>
    </xf>
    <xf numFmtId="0" fontId="5" fillId="7" borderId="19" xfId="12" applyFont="1" applyFill="1" applyBorder="1" applyAlignment="1">
      <alignment horizontal="left" vertical="center"/>
    </xf>
    <xf numFmtId="0" fontId="5" fillId="7" borderId="18" xfId="12" applyFont="1" applyFill="1" applyBorder="1" applyAlignment="1">
      <alignment horizontal="left" vertical="center"/>
    </xf>
    <xf numFmtId="0" fontId="5" fillId="0" borderId="47" xfId="12" applyFont="1" applyBorder="1" applyAlignment="1">
      <alignment horizontal="left" vertical="top" wrapText="1"/>
    </xf>
    <xf numFmtId="0" fontId="5" fillId="0" borderId="16" xfId="12" applyFont="1" applyBorder="1" applyAlignment="1">
      <alignment horizontal="left" vertical="top" wrapText="1"/>
    </xf>
    <xf numFmtId="0" fontId="5" fillId="0" borderId="21" xfId="12" applyFont="1" applyBorder="1" applyAlignment="1">
      <alignment horizontal="left" vertical="top" wrapText="1"/>
    </xf>
    <xf numFmtId="0" fontId="5" fillId="0" borderId="11" xfId="12" applyFont="1" applyBorder="1" applyAlignment="1">
      <alignment horizontal="left" vertical="top" wrapText="1"/>
    </xf>
    <xf numFmtId="0" fontId="5" fillId="0" borderId="0" xfId="12" applyFont="1" applyBorder="1" applyAlignment="1">
      <alignment horizontal="left" vertical="top" wrapText="1"/>
    </xf>
    <xf numFmtId="0" fontId="5" fillId="0" borderId="22" xfId="12" applyFont="1" applyBorder="1" applyAlignment="1">
      <alignment horizontal="left" vertical="top" wrapText="1"/>
    </xf>
    <xf numFmtId="165" fontId="5" fillId="0" borderId="12" xfId="5" applyFont="1" applyBorder="1" applyAlignment="1">
      <alignment horizontal="center" vertical="center"/>
    </xf>
    <xf numFmtId="165" fontId="5" fillId="0" borderId="2" xfId="5" applyFont="1" applyBorder="1" applyAlignment="1">
      <alignment horizontal="center" vertical="center"/>
    </xf>
    <xf numFmtId="165" fontId="5" fillId="0" borderId="3" xfId="5" applyFont="1" applyBorder="1" applyAlignment="1">
      <alignment horizontal="center" vertical="center"/>
    </xf>
    <xf numFmtId="0" fontId="5" fillId="0" borderId="0" xfId="8" applyFont="1" applyAlignment="1">
      <alignment horizontal="center"/>
    </xf>
    <xf numFmtId="0" fontId="5" fillId="0" borderId="17" xfId="17" applyFont="1" applyFill="1" applyBorder="1" applyAlignment="1">
      <alignment horizontal="center" vertical="center"/>
    </xf>
    <xf numFmtId="0" fontId="5" fillId="0" borderId="19" xfId="17" applyFont="1" applyFill="1" applyBorder="1" applyAlignment="1">
      <alignment horizontal="center" vertical="center"/>
    </xf>
    <xf numFmtId="0" fontId="5" fillId="0" borderId="18" xfId="17" applyFont="1" applyFill="1" applyBorder="1" applyAlignment="1">
      <alignment horizontal="center" vertical="center"/>
    </xf>
    <xf numFmtId="166" fontId="12" fillId="0" borderId="11" xfId="30" applyNumberFormat="1" applyFont="1" applyBorder="1" applyAlignment="1">
      <alignment horizontal="center"/>
    </xf>
    <xf numFmtId="166" fontId="12" fillId="0" borderId="0" xfId="30" applyNumberFormat="1" applyFont="1" applyBorder="1" applyAlignment="1">
      <alignment horizontal="center"/>
    </xf>
    <xf numFmtId="166" fontId="12" fillId="0" borderId="22" xfId="30" applyNumberFormat="1" applyFont="1" applyBorder="1" applyAlignment="1">
      <alignment horizontal="center"/>
    </xf>
    <xf numFmtId="22" fontId="20" fillId="0" borderId="7" xfId="9" applyNumberFormat="1" applyFont="1" applyFill="1" applyBorder="1" applyAlignment="1">
      <alignment horizontal="center" vertical="center"/>
    </xf>
    <xf numFmtId="22" fontId="20" fillId="0" borderId="63" xfId="9" applyNumberFormat="1" applyFont="1" applyFill="1" applyBorder="1" applyAlignment="1">
      <alignment horizontal="center" vertical="center"/>
    </xf>
    <xf numFmtId="0" fontId="3" fillId="0" borderId="16" xfId="17" applyFont="1" applyFill="1" applyBorder="1" applyAlignment="1">
      <alignment horizontal="left" wrapText="1"/>
    </xf>
    <xf numFmtId="0" fontId="3" fillId="0" borderId="21" xfId="17" applyFont="1" applyFill="1" applyBorder="1" applyAlignment="1">
      <alignment horizontal="left" wrapText="1"/>
    </xf>
    <xf numFmtId="0" fontId="3" fillId="0" borderId="0" xfId="17" applyFont="1" applyFill="1" applyBorder="1" applyAlignment="1">
      <alignment horizontal="left" wrapText="1"/>
    </xf>
    <xf numFmtId="0" fontId="3" fillId="0" borderId="22" xfId="17" applyFont="1" applyFill="1" applyBorder="1" applyAlignment="1">
      <alignment horizontal="left" wrapText="1"/>
    </xf>
    <xf numFmtId="0" fontId="19" fillId="0" borderId="13" xfId="15" applyFont="1" applyFill="1" applyBorder="1" applyAlignment="1">
      <alignment vertical="center" shrinkToFit="1"/>
    </xf>
    <xf numFmtId="0" fontId="19" fillId="0" borderId="13" xfId="11" applyFont="1" applyBorder="1" applyAlignment="1">
      <alignment vertical="center"/>
    </xf>
    <xf numFmtId="10" fontId="19" fillId="0" borderId="13" xfId="21" applyNumberFormat="1" applyFont="1" applyFill="1" applyBorder="1" applyAlignment="1">
      <alignment horizontal="center" vertical="center" shrinkToFit="1"/>
    </xf>
    <xf numFmtId="0" fontId="19" fillId="0" borderId="13" xfId="11" applyFont="1" applyBorder="1" applyAlignment="1">
      <alignment horizontal="center" vertical="center" shrinkToFit="1"/>
    </xf>
    <xf numFmtId="0" fontId="21" fillId="10" borderId="17" xfId="15" applyFont="1" applyFill="1" applyBorder="1" applyAlignment="1">
      <alignment horizontal="center" vertical="center" wrapText="1"/>
    </xf>
    <xf numFmtId="0" fontId="21" fillId="10" borderId="19" xfId="15" applyFont="1" applyFill="1" applyBorder="1" applyAlignment="1">
      <alignment horizontal="center" vertical="center" wrapText="1"/>
    </xf>
    <xf numFmtId="0" fontId="19" fillId="10" borderId="19" xfId="11" applyFont="1" applyFill="1" applyBorder="1" applyAlignment="1">
      <alignment horizontal="center" vertical="center"/>
    </xf>
    <xf numFmtId="0" fontId="19" fillId="10" borderId="18" xfId="11" applyFont="1" applyFill="1" applyBorder="1" applyAlignment="1">
      <alignment horizontal="center" vertical="center"/>
    </xf>
    <xf numFmtId="0" fontId="21" fillId="10" borderId="13" xfId="15" applyFont="1" applyFill="1" applyBorder="1" applyAlignment="1">
      <alignment horizontal="center" vertical="center" wrapText="1"/>
    </xf>
    <xf numFmtId="0" fontId="19" fillId="10" borderId="13" xfId="11" applyFont="1" applyFill="1" applyBorder="1" applyAlignment="1">
      <alignment vertical="center"/>
    </xf>
    <xf numFmtId="10" fontId="21" fillId="10" borderId="13" xfId="21" applyNumberFormat="1" applyFont="1" applyFill="1" applyBorder="1" applyAlignment="1">
      <alignment horizontal="center" vertical="center" shrinkToFit="1"/>
    </xf>
    <xf numFmtId="0" fontId="19" fillId="10" borderId="13" xfId="11" applyFont="1" applyFill="1" applyBorder="1" applyAlignment="1">
      <alignment vertical="center" shrinkToFit="1"/>
    </xf>
    <xf numFmtId="0" fontId="19" fillId="0" borderId="3" xfId="15" applyFont="1" applyFill="1" applyBorder="1" applyAlignment="1">
      <alignment vertical="center" shrinkToFit="1"/>
    </xf>
    <xf numFmtId="0" fontId="19" fillId="0" borderId="3" xfId="11" applyFont="1" applyBorder="1" applyAlignment="1">
      <alignment vertical="center"/>
    </xf>
    <xf numFmtId="0" fontId="19" fillId="10" borderId="13" xfId="11" applyFont="1" applyFill="1" applyBorder="1" applyAlignment="1">
      <alignment horizontal="center" vertical="center" shrinkToFit="1"/>
    </xf>
    <xf numFmtId="0" fontId="19" fillId="0" borderId="17" xfId="11" applyFont="1" applyBorder="1" applyAlignment="1">
      <alignment vertical="center"/>
    </xf>
    <xf numFmtId="0" fontId="19" fillId="0" borderId="19" xfId="11" applyFont="1" applyBorder="1" applyAlignment="1">
      <alignment vertical="center"/>
    </xf>
    <xf numFmtId="0" fontId="19" fillId="0" borderId="18" xfId="11" applyFont="1" applyBorder="1" applyAlignment="1">
      <alignment vertical="center"/>
    </xf>
    <xf numFmtId="0" fontId="21" fillId="10" borderId="17" xfId="15" applyNumberFormat="1" applyFont="1" applyFill="1" applyBorder="1" applyAlignment="1">
      <alignment horizontal="center" vertical="center"/>
    </xf>
    <xf numFmtId="0" fontId="21" fillId="10" borderId="19" xfId="15" applyNumberFormat="1" applyFont="1" applyFill="1" applyBorder="1" applyAlignment="1">
      <alignment horizontal="center" vertical="center"/>
    </xf>
    <xf numFmtId="0" fontId="21" fillId="10" borderId="18" xfId="15" applyNumberFormat="1" applyFont="1" applyFill="1" applyBorder="1" applyAlignment="1">
      <alignment horizontal="center" vertical="center"/>
    </xf>
    <xf numFmtId="0" fontId="19" fillId="0" borderId="12" xfId="15" applyFont="1" applyFill="1" applyBorder="1" applyAlignment="1">
      <alignment vertical="center" shrinkToFit="1"/>
    </xf>
    <xf numFmtId="0" fontId="19" fillId="0" borderId="12" xfId="11" applyFont="1" applyBorder="1" applyAlignment="1">
      <alignment vertical="center"/>
    </xf>
    <xf numFmtId="0" fontId="19" fillId="0" borderId="47" xfId="15" applyFont="1" applyFill="1" applyBorder="1" applyAlignment="1">
      <alignment vertical="center" shrinkToFit="1"/>
    </xf>
    <xf numFmtId="0" fontId="19" fillId="0" borderId="16" xfId="15" applyFont="1" applyFill="1" applyBorder="1" applyAlignment="1">
      <alignment vertical="center" shrinkToFit="1"/>
    </xf>
    <xf numFmtId="0" fontId="19" fillId="0" borderId="16" xfId="11" applyFont="1" applyBorder="1" applyAlignment="1">
      <alignment vertical="center"/>
    </xf>
    <xf numFmtId="0" fontId="19" fillId="0" borderId="21" xfId="11" applyFont="1" applyBorder="1" applyAlignment="1">
      <alignment vertical="center"/>
    </xf>
    <xf numFmtId="10" fontId="19" fillId="0" borderId="47" xfId="21" applyNumberFormat="1" applyFont="1" applyFill="1" applyBorder="1" applyAlignment="1">
      <alignment horizontal="center" vertical="center" shrinkToFit="1"/>
    </xf>
    <xf numFmtId="0" fontId="19" fillId="0" borderId="16" xfId="11" applyFont="1" applyFill="1" applyBorder="1" applyAlignment="1">
      <alignment horizontal="center" vertical="center" shrinkToFit="1"/>
    </xf>
    <xf numFmtId="0" fontId="19" fillId="0" borderId="21" xfId="11" applyFont="1" applyFill="1" applyBorder="1" applyAlignment="1">
      <alignment horizontal="center" vertical="center" shrinkToFit="1"/>
    </xf>
    <xf numFmtId="0" fontId="19" fillId="0" borderId="20" xfId="11" applyFont="1" applyFill="1" applyBorder="1" applyAlignment="1">
      <alignment horizontal="center" vertical="center" shrinkToFit="1"/>
    </xf>
    <xf numFmtId="0" fontId="19" fillId="0" borderId="7" xfId="11" applyFont="1" applyFill="1" applyBorder="1" applyAlignment="1">
      <alignment horizontal="center" vertical="center" shrinkToFit="1"/>
    </xf>
    <xf numFmtId="0" fontId="19" fillId="0" borderId="63" xfId="11" applyFont="1" applyFill="1" applyBorder="1" applyAlignment="1">
      <alignment horizontal="center" vertical="center" shrinkToFit="1"/>
    </xf>
    <xf numFmtId="0" fontId="19" fillId="0" borderId="7" xfId="15" applyFont="1" applyFill="1" applyBorder="1" applyAlignment="1">
      <alignment vertical="center" shrinkToFit="1"/>
    </xf>
    <xf numFmtId="10" fontId="19" fillId="0" borderId="7" xfId="21" applyNumberFormat="1" applyFont="1" applyBorder="1" applyAlignment="1">
      <alignment vertical="center"/>
    </xf>
    <xf numFmtId="0" fontId="19" fillId="0" borderId="7" xfId="11" applyFont="1" applyBorder="1" applyAlignment="1">
      <alignment vertical="center"/>
    </xf>
    <xf numFmtId="197" fontId="19" fillId="0" borderId="7" xfId="11" applyNumberFormat="1" applyFont="1" applyBorder="1" applyAlignment="1">
      <alignment vertical="center"/>
    </xf>
    <xf numFmtId="0" fontId="19" fillId="0" borderId="12" xfId="15" applyNumberFormat="1" applyFont="1" applyFill="1" applyBorder="1" applyAlignment="1">
      <alignment vertical="center"/>
    </xf>
    <xf numFmtId="10" fontId="19" fillId="0" borderId="13" xfId="15" applyNumberFormat="1" applyFont="1" applyFill="1" applyBorder="1" applyAlignment="1">
      <alignment horizontal="center" vertical="center" shrinkToFit="1"/>
    </xf>
    <xf numFmtId="0" fontId="19" fillId="0" borderId="17" xfId="15" applyNumberFormat="1" applyFont="1" applyFill="1" applyBorder="1" applyAlignment="1">
      <alignment vertical="center"/>
    </xf>
    <xf numFmtId="10" fontId="19" fillId="0" borderId="19" xfId="11" applyNumberFormat="1" applyFont="1" applyBorder="1" applyAlignment="1">
      <alignment horizontal="center" vertical="center"/>
    </xf>
    <xf numFmtId="0" fontId="19" fillId="0" borderId="19" xfId="11" applyFont="1" applyBorder="1" applyAlignment="1">
      <alignment horizontal="center" vertical="center"/>
    </xf>
    <xf numFmtId="10" fontId="19" fillId="0" borderId="19" xfId="11" applyNumberFormat="1" applyFont="1" applyBorder="1" applyAlignment="1">
      <alignment horizontal="left" vertical="center"/>
    </xf>
    <xf numFmtId="0" fontId="19" fillId="0" borderId="18" xfId="11" applyFont="1" applyBorder="1" applyAlignment="1">
      <alignment horizontal="left" vertical="center"/>
    </xf>
    <xf numFmtId="10" fontId="19" fillId="0" borderId="19" xfId="11" applyNumberFormat="1" applyFont="1" applyBorder="1" applyAlignment="1">
      <alignment horizontal="center" vertical="center" shrinkToFit="1"/>
    </xf>
    <xf numFmtId="0" fontId="19" fillId="0" borderId="19" xfId="11" applyFont="1" applyBorder="1" applyAlignment="1">
      <alignment horizontal="center" vertical="center" shrinkToFit="1"/>
    </xf>
    <xf numFmtId="0" fontId="19" fillId="0" borderId="18" xfId="11" applyFont="1" applyBorder="1" applyAlignment="1">
      <alignment horizontal="center" vertical="center" shrinkToFit="1"/>
    </xf>
    <xf numFmtId="0" fontId="19" fillId="0" borderId="47" xfId="15" applyNumberFormat="1" applyFont="1" applyFill="1" applyBorder="1" applyAlignment="1">
      <alignment vertical="center"/>
    </xf>
    <xf numFmtId="0" fontId="19" fillId="0" borderId="11" xfId="15" applyNumberFormat="1" applyFont="1" applyFill="1" applyBorder="1" applyAlignment="1">
      <alignment vertical="center"/>
    </xf>
    <xf numFmtId="0" fontId="19" fillId="0" borderId="0" xfId="11" applyFont="1" applyBorder="1" applyAlignment="1">
      <alignment vertical="center"/>
    </xf>
    <xf numFmtId="0" fontId="19" fillId="0" borderId="20" xfId="11" applyFont="1" applyBorder="1" applyAlignment="1">
      <alignment vertical="center"/>
    </xf>
    <xf numFmtId="0" fontId="19" fillId="0" borderId="47" xfId="15" applyNumberFormat="1" applyFont="1" applyFill="1" applyBorder="1" applyAlignment="1">
      <alignment horizontal="justify" vertical="center" wrapText="1"/>
    </xf>
    <xf numFmtId="0" fontId="19" fillId="0" borderId="16" xfId="15" applyNumberFormat="1" applyFont="1" applyFill="1" applyBorder="1" applyAlignment="1">
      <alignment horizontal="justify" vertical="center" wrapText="1"/>
    </xf>
    <xf numFmtId="0" fontId="19" fillId="0" borderId="21" xfId="15" applyNumberFormat="1" applyFont="1" applyFill="1" applyBorder="1" applyAlignment="1">
      <alignment horizontal="justify" vertical="center" wrapText="1"/>
    </xf>
    <xf numFmtId="10" fontId="19" fillId="0" borderId="16" xfId="21" applyNumberFormat="1" applyFont="1" applyFill="1" applyBorder="1" applyAlignment="1">
      <alignment horizontal="center" vertical="center" shrinkToFit="1"/>
    </xf>
    <xf numFmtId="10" fontId="19" fillId="0" borderId="21" xfId="21" applyNumberFormat="1" applyFont="1" applyFill="1" applyBorder="1" applyAlignment="1">
      <alignment horizontal="center" vertical="center" shrinkToFit="1"/>
    </xf>
    <xf numFmtId="10" fontId="19" fillId="0" borderId="0" xfId="21" applyNumberFormat="1" applyFont="1" applyFill="1" applyBorder="1" applyAlignment="1">
      <alignment horizontal="center" vertical="center" shrinkToFit="1"/>
    </xf>
    <xf numFmtId="10" fontId="19" fillId="0" borderId="22" xfId="21" applyNumberFormat="1" applyFont="1" applyFill="1" applyBorder="1" applyAlignment="1">
      <alignment horizontal="center" vertical="center" shrinkToFit="1"/>
    </xf>
    <xf numFmtId="10" fontId="19" fillId="0" borderId="7" xfId="21" applyNumberFormat="1" applyFont="1" applyFill="1" applyBorder="1" applyAlignment="1">
      <alignment horizontal="center" vertical="center" shrinkToFit="1"/>
    </xf>
    <xf numFmtId="10" fontId="19" fillId="0" borderId="63" xfId="21" applyNumberFormat="1" applyFont="1" applyFill="1" applyBorder="1" applyAlignment="1">
      <alignment horizontal="center" vertical="center" shrinkToFit="1"/>
    </xf>
    <xf numFmtId="0" fontId="19" fillId="0" borderId="20" xfId="31" applyNumberFormat="1" applyFont="1" applyFill="1" applyBorder="1" applyAlignment="1">
      <alignment horizontal="center" vertical="center"/>
    </xf>
    <xf numFmtId="0" fontId="19" fillId="0" borderId="7" xfId="31" applyNumberFormat="1" applyFont="1" applyFill="1" applyBorder="1" applyAlignment="1">
      <alignment horizontal="center" vertical="center"/>
    </xf>
    <xf numFmtId="0" fontId="19" fillId="0" borderId="7" xfId="11" applyNumberFormat="1" applyFont="1" applyFill="1" applyBorder="1" applyAlignment="1">
      <alignment horizontal="center" vertical="center"/>
    </xf>
    <xf numFmtId="0" fontId="19" fillId="0" borderId="7" xfId="11" applyFont="1" applyFill="1" applyBorder="1" applyAlignment="1">
      <alignment vertical="center"/>
    </xf>
    <xf numFmtId="0" fontId="19" fillId="0" borderId="7" xfId="15" applyNumberFormat="1" applyFont="1" applyFill="1" applyBorder="1" applyAlignment="1">
      <alignment horizontal="center" vertical="center"/>
    </xf>
    <xf numFmtId="0" fontId="19" fillId="0" borderId="63" xfId="15" applyNumberFormat="1" applyFont="1" applyFill="1" applyBorder="1" applyAlignment="1">
      <alignment horizontal="center" vertical="center"/>
    </xf>
    <xf numFmtId="0" fontId="21" fillId="10" borderId="13" xfId="15" applyNumberFormat="1" applyFont="1" applyFill="1" applyBorder="1" applyAlignment="1">
      <alignment vertical="center"/>
    </xf>
    <xf numFmtId="0" fontId="21" fillId="10" borderId="13" xfId="11" applyFont="1" applyFill="1" applyBorder="1" applyAlignment="1">
      <alignment vertical="center"/>
    </xf>
    <xf numFmtId="10" fontId="21" fillId="10" borderId="13" xfId="15" applyNumberFormat="1" applyFont="1" applyFill="1" applyBorder="1" applyAlignment="1">
      <alignment horizontal="center" vertical="center" shrinkToFit="1"/>
    </xf>
    <xf numFmtId="0" fontId="21" fillId="10" borderId="13" xfId="11" applyFont="1" applyFill="1" applyBorder="1" applyAlignment="1">
      <alignment horizontal="center" vertical="center" shrinkToFit="1"/>
    </xf>
    <xf numFmtId="0" fontId="21" fillId="10" borderId="16" xfId="15" applyNumberFormat="1" applyFont="1" applyFill="1" applyBorder="1" applyAlignment="1">
      <alignment horizontal="center" vertical="center"/>
    </xf>
    <xf numFmtId="0" fontId="19" fillId="0" borderId="11" xfId="15" applyNumberFormat="1" applyFont="1" applyFill="1" applyBorder="1" applyAlignment="1">
      <alignment vertical="center" wrapText="1"/>
    </xf>
    <xf numFmtId="0" fontId="19" fillId="0" borderId="0" xfId="11" applyFont="1" applyBorder="1" applyAlignment="1">
      <alignment vertical="center" wrapText="1"/>
    </xf>
    <xf numFmtId="0" fontId="19" fillId="0" borderId="20" xfId="11" applyFont="1" applyBorder="1" applyAlignment="1">
      <alignment vertical="center" wrapText="1"/>
    </xf>
    <xf numFmtId="0" fontId="19" fillId="0" borderId="7" xfId="11" applyFont="1" applyBorder="1" applyAlignment="1">
      <alignment vertical="center" wrapText="1"/>
    </xf>
    <xf numFmtId="0" fontId="19" fillId="0" borderId="47" xfId="15" applyNumberFormat="1" applyFont="1" applyFill="1" applyBorder="1" applyAlignment="1">
      <alignment horizontal="justify" vertical="center"/>
    </xf>
    <xf numFmtId="0" fontId="19" fillId="0" borderId="16" xfId="11" applyFont="1" applyBorder="1" applyAlignment="1">
      <alignment horizontal="justify" vertical="center"/>
    </xf>
    <xf numFmtId="0" fontId="19" fillId="0" borderId="21" xfId="11" applyFont="1" applyBorder="1" applyAlignment="1">
      <alignment horizontal="justify" vertical="center"/>
    </xf>
    <xf numFmtId="10" fontId="19" fillId="0" borderId="20" xfId="31" applyNumberFormat="1" applyFont="1" applyFill="1" applyBorder="1" applyAlignment="1">
      <alignment vertical="center"/>
    </xf>
    <xf numFmtId="10" fontId="19" fillId="0" borderId="7" xfId="31" applyNumberFormat="1" applyFont="1" applyFill="1" applyBorder="1" applyAlignment="1">
      <alignment vertical="center"/>
    </xf>
    <xf numFmtId="10" fontId="19" fillId="0" borderId="7" xfId="21" applyNumberFormat="1" applyFont="1" applyFill="1" applyBorder="1" applyAlignment="1">
      <alignment horizontal="center" vertical="center"/>
    </xf>
    <xf numFmtId="10" fontId="19" fillId="0" borderId="7" xfId="24" applyNumberFormat="1" applyFont="1" applyBorder="1" applyAlignment="1">
      <alignment vertical="center"/>
    </xf>
    <xf numFmtId="10" fontId="19" fillId="0" borderId="7" xfId="31" applyNumberFormat="1" applyFont="1" applyFill="1" applyBorder="1" applyAlignment="1">
      <alignment horizontal="center" vertical="center"/>
    </xf>
    <xf numFmtId="10" fontId="19" fillId="0" borderId="17" xfId="21" applyNumberFormat="1" applyFont="1" applyFill="1" applyBorder="1" applyAlignment="1">
      <alignment horizontal="center" vertical="center" shrinkToFit="1"/>
    </xf>
    <xf numFmtId="10" fontId="19" fillId="0" borderId="19" xfId="21" applyNumberFormat="1" applyFont="1" applyFill="1" applyBorder="1" applyAlignment="1">
      <alignment horizontal="center" vertical="center" shrinkToFit="1"/>
    </xf>
    <xf numFmtId="10" fontId="19" fillId="0" borderId="18" xfId="21" applyNumberFormat="1" applyFont="1" applyFill="1" applyBorder="1" applyAlignment="1">
      <alignment horizontal="center" vertical="center" shrinkToFit="1"/>
    </xf>
    <xf numFmtId="10" fontId="19" fillId="0" borderId="7" xfId="11" applyNumberFormat="1" applyFont="1" applyBorder="1" applyAlignment="1">
      <alignment horizontal="center" vertical="center"/>
    </xf>
    <xf numFmtId="0" fontId="19" fillId="0" borderId="7" xfId="11" applyFont="1" applyBorder="1" applyAlignment="1">
      <alignment horizontal="center" vertical="center"/>
    </xf>
    <xf numFmtId="10" fontId="19" fillId="0" borderId="7" xfId="11" applyNumberFormat="1" applyFont="1" applyBorder="1" applyAlignment="1">
      <alignment horizontal="left" vertical="center"/>
    </xf>
    <xf numFmtId="0" fontId="19" fillId="0" borderId="63" xfId="11" applyFont="1" applyBorder="1" applyAlignment="1">
      <alignment horizontal="left" vertical="center"/>
    </xf>
    <xf numFmtId="196" fontId="19" fillId="0" borderId="19" xfId="11" applyNumberFormat="1" applyFont="1" applyBorder="1" applyAlignment="1">
      <alignment horizontal="center" vertical="center" shrinkToFit="1"/>
    </xf>
    <xf numFmtId="196" fontId="19" fillId="0" borderId="18" xfId="11" applyNumberFormat="1" applyFont="1" applyBorder="1" applyAlignment="1">
      <alignment horizontal="center" vertical="center" shrinkToFit="1"/>
    </xf>
    <xf numFmtId="0" fontId="19" fillId="0" borderId="11" xfId="15" applyNumberFormat="1" applyFont="1" applyFill="1" applyBorder="1" applyAlignment="1">
      <alignment horizontal="justify" vertical="center" wrapText="1"/>
    </xf>
    <xf numFmtId="0" fontId="19" fillId="0" borderId="0" xfId="15" applyNumberFormat="1" applyFont="1" applyFill="1" applyBorder="1" applyAlignment="1">
      <alignment horizontal="justify" vertical="center" wrapText="1"/>
    </xf>
    <xf numFmtId="0" fontId="19" fillId="0" borderId="22" xfId="15" applyNumberFormat="1" applyFont="1" applyFill="1" applyBorder="1" applyAlignment="1">
      <alignment horizontal="justify" vertical="center" wrapText="1"/>
    </xf>
    <xf numFmtId="167" fontId="19" fillId="0" borderId="7" xfId="11" applyNumberFormat="1" applyFont="1" applyBorder="1" applyAlignment="1">
      <alignment horizontal="center" vertical="center"/>
    </xf>
    <xf numFmtId="167" fontId="19" fillId="0" borderId="7" xfId="11" applyNumberFormat="1" applyFont="1" applyBorder="1" applyAlignment="1">
      <alignment vertical="center"/>
    </xf>
    <xf numFmtId="0" fontId="19" fillId="0" borderId="16" xfId="11" applyFont="1" applyBorder="1" applyAlignment="1">
      <alignment horizontal="justify" vertical="center" wrapText="1"/>
    </xf>
    <xf numFmtId="0" fontId="19" fillId="0" borderId="21" xfId="11" applyFont="1" applyBorder="1" applyAlignment="1">
      <alignment horizontal="justify" vertical="center" wrapText="1"/>
    </xf>
    <xf numFmtId="0" fontId="19" fillId="0" borderId="20" xfId="11" applyFont="1" applyBorder="1" applyAlignment="1">
      <alignment horizontal="justify" vertical="center" wrapText="1"/>
    </xf>
    <xf numFmtId="0" fontId="19" fillId="0" borderId="7" xfId="11" applyFont="1" applyBorder="1" applyAlignment="1">
      <alignment horizontal="justify" vertical="center" wrapText="1"/>
    </xf>
    <xf numFmtId="0" fontId="19" fillId="0" borderId="63" xfId="11" applyFont="1" applyBorder="1" applyAlignment="1">
      <alignment horizontal="justify" vertical="center" wrapText="1"/>
    </xf>
    <xf numFmtId="0" fontId="19" fillId="0" borderId="47" xfId="15" applyNumberFormat="1" applyFont="1" applyFill="1" applyBorder="1" applyAlignment="1">
      <alignment vertical="center" wrapText="1"/>
    </xf>
    <xf numFmtId="0" fontId="19" fillId="0" borderId="16" xfId="15" applyNumberFormat="1" applyFont="1" applyFill="1" applyBorder="1" applyAlignment="1">
      <alignment vertical="center" wrapText="1"/>
    </xf>
    <xf numFmtId="0" fontId="19" fillId="0" borderId="21" xfId="15" applyNumberFormat="1" applyFont="1" applyFill="1" applyBorder="1" applyAlignment="1">
      <alignment vertical="center" wrapText="1"/>
    </xf>
    <xf numFmtId="10" fontId="19" fillId="0" borderId="20" xfId="31" applyNumberFormat="1" applyFont="1" applyFill="1" applyBorder="1" applyAlignment="1">
      <alignment horizontal="center" vertical="center"/>
    </xf>
    <xf numFmtId="0" fontId="19" fillId="0" borderId="13" xfId="11" applyFont="1" applyBorder="1" applyAlignment="1">
      <alignment horizontal="justify" vertical="center" wrapText="1"/>
    </xf>
    <xf numFmtId="10" fontId="19" fillId="0" borderId="47" xfId="11" applyNumberFormat="1" applyFont="1" applyBorder="1" applyAlignment="1">
      <alignment horizontal="justify" vertical="center" wrapText="1"/>
    </xf>
    <xf numFmtId="10" fontId="19" fillId="0" borderId="16" xfId="11" applyNumberFormat="1" applyFont="1" applyBorder="1" applyAlignment="1">
      <alignment horizontal="justify" vertical="center" wrapText="1"/>
    </xf>
    <xf numFmtId="10" fontId="19" fillId="0" borderId="21" xfId="11" applyNumberFormat="1" applyFont="1" applyBorder="1" applyAlignment="1">
      <alignment horizontal="justify" vertical="center" wrapText="1"/>
    </xf>
    <xf numFmtId="10" fontId="19" fillId="0" borderId="11" xfId="11" applyNumberFormat="1" applyFont="1" applyBorder="1" applyAlignment="1">
      <alignment horizontal="justify" vertical="center" wrapText="1"/>
    </xf>
    <xf numFmtId="10" fontId="19" fillId="0" borderId="0" xfId="11" applyNumberFormat="1" applyFont="1" applyBorder="1" applyAlignment="1">
      <alignment horizontal="justify" vertical="center" wrapText="1"/>
    </xf>
    <xf numFmtId="10" fontId="19" fillId="0" borderId="22" xfId="11" applyNumberFormat="1" applyFont="1" applyBorder="1" applyAlignment="1">
      <alignment horizontal="justify" vertical="center" wrapText="1"/>
    </xf>
    <xf numFmtId="10" fontId="19" fillId="0" borderId="11" xfId="21" applyNumberFormat="1" applyFont="1" applyFill="1" applyBorder="1" applyAlignment="1">
      <alignment horizontal="center" vertical="center" shrinkToFit="1"/>
    </xf>
    <xf numFmtId="10" fontId="19" fillId="0" borderId="20" xfId="21" applyNumberFormat="1" applyFont="1" applyFill="1" applyBorder="1" applyAlignment="1">
      <alignment horizontal="center" vertical="center" shrinkToFit="1"/>
    </xf>
    <xf numFmtId="0" fontId="19" fillId="0" borderId="20" xfId="11" applyNumberFormat="1" applyFont="1" applyBorder="1" applyAlignment="1">
      <alignment horizontal="center" vertical="center" wrapText="1"/>
    </xf>
    <xf numFmtId="0" fontId="19" fillId="0" borderId="7" xfId="11" applyNumberFormat="1" applyFont="1" applyBorder="1" applyAlignment="1">
      <alignment horizontal="center" vertical="center" wrapText="1"/>
    </xf>
    <xf numFmtId="10" fontId="19" fillId="0" borderId="7" xfId="24" applyNumberFormat="1" applyFont="1" applyBorder="1" applyAlignment="1">
      <alignment horizontal="justify" vertical="center" wrapText="1"/>
    </xf>
    <xf numFmtId="0" fontId="19" fillId="0" borderId="0" xfId="11" applyFont="1" applyBorder="1" applyAlignment="1">
      <alignment horizontal="justify" vertical="center" wrapText="1"/>
    </xf>
    <xf numFmtId="0" fontId="19" fillId="0" borderId="22" xfId="11" applyFont="1" applyBorder="1" applyAlignment="1">
      <alignment horizontal="justify" vertical="center" wrapText="1"/>
    </xf>
    <xf numFmtId="196" fontId="19" fillId="0" borderId="47" xfId="21" applyNumberFormat="1" applyFont="1" applyFill="1" applyBorder="1" applyAlignment="1">
      <alignment horizontal="center" vertical="center" shrinkToFit="1"/>
    </xf>
    <xf numFmtId="196" fontId="19" fillId="0" borderId="16" xfId="21" applyNumberFormat="1" applyFont="1" applyFill="1" applyBorder="1" applyAlignment="1">
      <alignment horizontal="center" vertical="center" shrinkToFit="1"/>
    </xf>
    <xf numFmtId="196" fontId="19" fillId="0" borderId="21" xfId="21" applyNumberFormat="1" applyFont="1" applyFill="1" applyBorder="1" applyAlignment="1">
      <alignment horizontal="center" vertical="center" shrinkToFit="1"/>
    </xf>
    <xf numFmtId="196" fontId="19" fillId="0" borderId="20" xfId="21" applyNumberFormat="1" applyFont="1" applyFill="1" applyBorder="1" applyAlignment="1">
      <alignment horizontal="center" vertical="center" shrinkToFit="1"/>
    </xf>
    <xf numFmtId="196" fontId="19" fillId="0" borderId="7" xfId="21" applyNumberFormat="1" applyFont="1" applyFill="1" applyBorder="1" applyAlignment="1">
      <alignment horizontal="center" vertical="center" shrinkToFit="1"/>
    </xf>
    <xf numFmtId="196" fontId="19" fillId="0" borderId="63" xfId="21" applyNumberFormat="1" applyFont="1" applyFill="1" applyBorder="1" applyAlignment="1">
      <alignment horizontal="center" vertical="center" shrinkToFit="1"/>
    </xf>
    <xf numFmtId="10" fontId="19" fillId="0" borderId="20" xfId="11" applyNumberFormat="1" applyFont="1" applyBorder="1" applyAlignment="1">
      <alignment horizontal="center" vertical="center" wrapText="1"/>
    </xf>
    <xf numFmtId="10" fontId="19" fillId="0" borderId="7" xfId="11" applyNumberFormat="1" applyFont="1" applyBorder="1" applyAlignment="1">
      <alignment horizontal="center" vertical="center" wrapText="1"/>
    </xf>
    <xf numFmtId="0" fontId="19" fillId="0" borderId="47" xfId="11" applyFont="1" applyBorder="1" applyAlignment="1">
      <alignment horizontal="justify" vertical="center" wrapText="1"/>
    </xf>
    <xf numFmtId="0" fontId="19" fillId="0" borderId="11" xfId="11" applyFont="1" applyBorder="1" applyAlignment="1">
      <alignment horizontal="justify" vertical="center" wrapText="1"/>
    </xf>
    <xf numFmtId="10" fontId="19" fillId="0" borderId="11" xfId="11" applyNumberFormat="1" applyFont="1" applyBorder="1" applyAlignment="1">
      <alignment horizontal="center" vertical="center" wrapText="1"/>
    </xf>
    <xf numFmtId="10" fontId="19" fillId="0" borderId="0" xfId="11" applyNumberFormat="1" applyFont="1" applyBorder="1" applyAlignment="1">
      <alignment horizontal="center" vertical="center" wrapText="1"/>
    </xf>
    <xf numFmtId="10" fontId="19" fillId="0" borderId="0" xfId="24" applyNumberFormat="1" applyFont="1" applyBorder="1" applyAlignment="1">
      <alignment horizontal="justify" vertical="center" wrapText="1"/>
    </xf>
    <xf numFmtId="10" fontId="21" fillId="10" borderId="13" xfId="11" applyNumberFormat="1" applyFont="1" applyFill="1" applyBorder="1" applyAlignment="1">
      <alignment horizontal="center" vertical="center" shrinkToFit="1"/>
    </xf>
    <xf numFmtId="10" fontId="19" fillId="0" borderId="7" xfId="11" applyNumberFormat="1" applyFont="1" applyBorder="1" applyAlignment="1">
      <alignment vertical="center"/>
    </xf>
    <xf numFmtId="10" fontId="19" fillId="0" borderId="7" xfId="21" applyNumberFormat="1" applyFont="1" applyBorder="1" applyAlignment="1">
      <alignment horizontal="center" vertical="center"/>
    </xf>
    <xf numFmtId="0" fontId="19" fillId="0" borderId="16" xfId="15" applyNumberFormat="1" applyFont="1" applyFill="1" applyBorder="1" applyAlignment="1">
      <alignment vertical="center"/>
    </xf>
    <xf numFmtId="0" fontId="19" fillId="0" borderId="21" xfId="15" applyNumberFormat="1" applyFont="1" applyFill="1" applyBorder="1" applyAlignment="1">
      <alignment vertical="center"/>
    </xf>
    <xf numFmtId="0" fontId="19" fillId="0" borderId="0" xfId="15" applyNumberFormat="1" applyFont="1" applyFill="1" applyBorder="1" applyAlignment="1">
      <alignment vertical="center"/>
    </xf>
    <xf numFmtId="0" fontId="19" fillId="0" borderId="22" xfId="15" applyNumberFormat="1" applyFont="1" applyFill="1" applyBorder="1" applyAlignment="1">
      <alignment vertical="center"/>
    </xf>
    <xf numFmtId="0" fontId="19" fillId="0" borderId="20" xfId="15" applyNumberFormat="1" applyFont="1" applyFill="1" applyBorder="1" applyAlignment="1">
      <alignment vertical="center"/>
    </xf>
    <xf numFmtId="0" fontId="19" fillId="0" borderId="7" xfId="15" applyNumberFormat="1" applyFont="1" applyFill="1" applyBorder="1" applyAlignment="1">
      <alignment vertical="center"/>
    </xf>
    <xf numFmtId="0" fontId="19" fillId="0" borderId="63" xfId="15" applyNumberFormat="1" applyFont="1" applyFill="1" applyBorder="1" applyAlignment="1">
      <alignment vertical="center"/>
    </xf>
    <xf numFmtId="0" fontId="19" fillId="0" borderId="47" xfId="31" applyNumberFormat="1" applyFont="1" applyFill="1" applyBorder="1" applyAlignment="1">
      <alignment horizontal="justify" vertical="center" wrapText="1"/>
    </xf>
    <xf numFmtId="0" fontId="19" fillId="0" borderId="16" xfId="31" applyNumberFormat="1" applyFont="1" applyFill="1" applyBorder="1" applyAlignment="1">
      <alignment horizontal="justify" vertical="center" wrapText="1"/>
    </xf>
    <xf numFmtId="0" fontId="19" fillId="0" borderId="21" xfId="31" applyNumberFormat="1" applyFont="1" applyFill="1" applyBorder="1" applyAlignment="1">
      <alignment horizontal="justify" vertical="center" wrapText="1"/>
    </xf>
    <xf numFmtId="0" fontId="19" fillId="0" borderId="11" xfId="31" applyNumberFormat="1" applyFont="1" applyFill="1" applyBorder="1" applyAlignment="1">
      <alignment horizontal="justify" vertical="center" wrapText="1"/>
    </xf>
    <xf numFmtId="0" fontId="19" fillId="0" borderId="0" xfId="31" applyNumberFormat="1" applyFont="1" applyFill="1" applyBorder="1" applyAlignment="1">
      <alignment horizontal="justify" vertical="center" wrapText="1"/>
    </xf>
    <xf numFmtId="0" fontId="19" fillId="0" borderId="22" xfId="31" applyNumberFormat="1" applyFont="1" applyFill="1" applyBorder="1" applyAlignment="1">
      <alignment horizontal="justify" vertical="center" wrapText="1"/>
    </xf>
    <xf numFmtId="0" fontId="19" fillId="0" borderId="16" xfId="11" applyFont="1" applyBorder="1" applyAlignment="1">
      <alignment horizontal="center" vertical="center" shrinkToFit="1"/>
    </xf>
    <xf numFmtId="0" fontId="19" fillId="0" borderId="21" xfId="11" applyFont="1" applyBorder="1" applyAlignment="1">
      <alignment horizontal="center" vertical="center" shrinkToFit="1"/>
    </xf>
    <xf numFmtId="0" fontId="19" fillId="0" borderId="0" xfId="11" applyFont="1" applyBorder="1" applyAlignment="1">
      <alignment horizontal="center" vertical="center" shrinkToFit="1"/>
    </xf>
    <xf numFmtId="0" fontId="19" fillId="0" borderId="22" xfId="11" applyFont="1" applyBorder="1" applyAlignment="1">
      <alignment horizontal="center" vertical="center" shrinkToFit="1"/>
    </xf>
    <xf numFmtId="0" fontId="19" fillId="0" borderId="20" xfId="11" applyFont="1" applyBorder="1" applyAlignment="1">
      <alignment horizontal="center" vertical="center" shrinkToFit="1"/>
    </xf>
    <xf numFmtId="0" fontId="19" fillId="0" borderId="7" xfId="11" applyFont="1" applyBorder="1" applyAlignment="1">
      <alignment horizontal="center" vertical="center" shrinkToFit="1"/>
    </xf>
    <xf numFmtId="0" fontId="19" fillId="0" borderId="63" xfId="11" applyFont="1" applyBorder="1" applyAlignment="1">
      <alignment horizontal="center" vertical="center" shrinkToFit="1"/>
    </xf>
    <xf numFmtId="10" fontId="19" fillId="0" borderId="17" xfId="11" applyNumberFormat="1" applyFont="1" applyBorder="1" applyAlignment="1">
      <alignment horizontal="center" vertical="center" shrinkToFit="1"/>
    </xf>
    <xf numFmtId="10" fontId="19" fillId="0" borderId="18" xfId="11" applyNumberFormat="1" applyFont="1" applyBorder="1" applyAlignment="1">
      <alignment horizontal="center" vertical="center" shrinkToFit="1"/>
    </xf>
    <xf numFmtId="0" fontId="19" fillId="0" borderId="13" xfId="15" applyFont="1" applyFill="1" applyBorder="1" applyAlignment="1">
      <alignment vertical="center" wrapText="1"/>
    </xf>
    <xf numFmtId="0" fontId="21" fillId="0" borderId="13" xfId="15" applyNumberFormat="1" applyFont="1" applyFill="1" applyBorder="1" applyAlignment="1">
      <alignment vertical="center"/>
    </xf>
    <xf numFmtId="0" fontId="21" fillId="0" borderId="13" xfId="11" applyFont="1" applyBorder="1" applyAlignment="1">
      <alignment vertical="center"/>
    </xf>
    <xf numFmtId="10" fontId="21" fillId="0" borderId="13" xfId="15" applyNumberFormat="1" applyFont="1" applyFill="1" applyBorder="1" applyAlignment="1">
      <alignment horizontal="center" vertical="center" shrinkToFit="1"/>
    </xf>
    <xf numFmtId="0" fontId="21" fillId="0" borderId="13" xfId="11" applyFont="1" applyBorder="1" applyAlignment="1">
      <alignment horizontal="center" vertical="center" shrinkToFit="1"/>
    </xf>
    <xf numFmtId="0" fontId="21" fillId="0" borderId="13" xfId="15" applyFont="1" applyFill="1" applyBorder="1" applyAlignment="1">
      <alignment horizontal="center" vertical="center" wrapText="1"/>
    </xf>
    <xf numFmtId="10" fontId="21" fillId="0" borderId="13" xfId="21" applyNumberFormat="1" applyFont="1" applyFill="1" applyBorder="1" applyAlignment="1">
      <alignment horizontal="center" vertical="center" shrinkToFit="1"/>
    </xf>
    <xf numFmtId="0" fontId="21" fillId="10" borderId="13" xfId="15" applyFont="1" applyFill="1" applyBorder="1" applyAlignment="1">
      <alignment vertical="center" wrapText="1"/>
    </xf>
    <xf numFmtId="0" fontId="3" fillId="0" borderId="0" xfId="12" applyProtection="1">
      <protection locked="0"/>
    </xf>
    <xf numFmtId="166" fontId="3" fillId="0" borderId="13" xfId="29" applyFont="1" applyFill="1" applyBorder="1" applyAlignment="1" applyProtection="1">
      <alignment horizontal="center"/>
      <protection locked="0"/>
    </xf>
    <xf numFmtId="171" fontId="3" fillId="5" borderId="17" xfId="29" applyNumberFormat="1" applyFont="1" applyFill="1" applyBorder="1" applyProtection="1">
      <protection locked="0"/>
    </xf>
    <xf numFmtId="166" fontId="3" fillId="0" borderId="12" xfId="29" applyFont="1" applyFill="1" applyBorder="1" applyProtection="1">
      <protection locked="0"/>
    </xf>
    <xf numFmtId="166" fontId="3" fillId="0" borderId="2" xfId="29" applyFont="1" applyFill="1" applyBorder="1" applyProtection="1">
      <protection locked="0"/>
    </xf>
    <xf numFmtId="166" fontId="3" fillId="0" borderId="3" xfId="29" applyFont="1" applyFill="1" applyBorder="1" applyProtection="1">
      <protection locked="0"/>
    </xf>
    <xf numFmtId="166" fontId="3" fillId="0" borderId="13" xfId="29" applyFont="1" applyFill="1" applyBorder="1" applyProtection="1">
      <protection locked="0"/>
    </xf>
    <xf numFmtId="166" fontId="3" fillId="0" borderId="13" xfId="12" applyNumberFormat="1" applyFont="1" applyBorder="1" applyProtection="1">
      <protection locked="0"/>
    </xf>
    <xf numFmtId="166" fontId="3" fillId="0" borderId="13" xfId="29" applyFont="1" applyBorder="1" applyProtection="1">
      <protection locked="0"/>
    </xf>
    <xf numFmtId="166" fontId="5" fillId="0" borderId="13" xfId="29" applyFont="1" applyBorder="1" applyAlignment="1" applyProtection="1">
      <alignment horizontal="center"/>
      <protection locked="0"/>
    </xf>
    <xf numFmtId="165" fontId="5" fillId="0" borderId="13" xfId="5" applyFont="1" applyBorder="1" applyProtection="1">
      <protection locked="0"/>
    </xf>
    <xf numFmtId="39" fontId="3" fillId="0" borderId="13" xfId="14" applyNumberFormat="1" applyFont="1" applyFill="1" applyBorder="1" applyAlignment="1" applyProtection="1">
      <protection locked="0"/>
    </xf>
    <xf numFmtId="40" fontId="2" fillId="0" borderId="45" xfId="9" applyNumberFormat="1" applyFont="1" applyFill="1" applyBorder="1" applyAlignment="1" applyProtection="1">
      <alignment horizontal="center"/>
      <protection locked="0"/>
    </xf>
    <xf numFmtId="40" fontId="2" fillId="0" borderId="119" xfId="9" applyNumberFormat="1" applyFont="1" applyFill="1" applyBorder="1" applyAlignment="1" applyProtection="1">
      <alignment horizontal="center"/>
      <protection locked="0"/>
    </xf>
    <xf numFmtId="0" fontId="3" fillId="0" borderId="0" xfId="12" applyFont="1" applyFill="1" applyProtection="1">
      <protection locked="0"/>
    </xf>
    <xf numFmtId="4" fontId="3" fillId="0" borderId="17" xfId="9" applyNumberFormat="1" applyFont="1" applyFill="1" applyBorder="1" applyAlignment="1" applyProtection="1">
      <protection locked="0"/>
    </xf>
    <xf numFmtId="4" fontId="3" fillId="0" borderId="18" xfId="0" applyNumberFormat="1" applyFont="1" applyFill="1" applyBorder="1" applyAlignment="1" applyProtection="1">
      <protection locked="0"/>
    </xf>
    <xf numFmtId="9" fontId="3" fillId="0" borderId="6" xfId="0" applyNumberFormat="1" applyFont="1" applyFill="1" applyBorder="1" applyAlignment="1" applyProtection="1">
      <alignment horizontal="center" vertical="center"/>
      <protection locked="0"/>
    </xf>
    <xf numFmtId="9" fontId="3" fillId="0" borderId="6" xfId="18" applyNumberFormat="1" applyFont="1" applyFill="1" applyBorder="1" applyAlignment="1" applyProtection="1">
      <alignment horizontal="center" vertical="center"/>
      <protection locked="0"/>
    </xf>
    <xf numFmtId="10" fontId="3" fillId="0" borderId="6" xfId="18" applyNumberFormat="1" applyFont="1" applyFill="1" applyBorder="1" applyAlignment="1" applyProtection="1">
      <alignment horizontal="center" vertical="center"/>
      <protection locked="0"/>
    </xf>
    <xf numFmtId="167" fontId="3" fillId="0" borderId="6" xfId="18" applyNumberFormat="1" applyFont="1" applyFill="1" applyBorder="1" applyAlignment="1" applyProtection="1">
      <alignment horizontal="center" vertical="center"/>
      <protection locked="0"/>
    </xf>
  </cellXfs>
  <cellStyles count="32">
    <cellStyle name="Comma [0]" xfId="1"/>
    <cellStyle name="Currency [0]" xfId="2"/>
    <cellStyle name="Hiperlink 2" xfId="3"/>
    <cellStyle name="Moeda" xfId="4" builtinId="4"/>
    <cellStyle name="Moeda 2" xfId="5"/>
    <cellStyle name="Moeda 2 2 2" xfId="6"/>
    <cellStyle name="Normal" xfId="0" builtinId="0"/>
    <cellStyle name="Normal 2" xfId="7"/>
    <cellStyle name="Normal 2 10" xfId="8"/>
    <cellStyle name="Normal 3" xfId="9"/>
    <cellStyle name="Normal 4" xfId="10"/>
    <cellStyle name="Normal 7 2" xfId="11"/>
    <cellStyle name="Normal_Campinas-Limpeza Urbana" xfId="12"/>
    <cellStyle name="Normal_Custo-Preço - alterado FabioC - VERSÃO 1" xfId="13"/>
    <cellStyle name="Normal_Planilha Custo e Preço" xfId="14"/>
    <cellStyle name="Normal_Planilha em Proposta 123 de 2003" xfId="15"/>
    <cellStyle name="Normal_PREÇO P. ALEGRE" xfId="16"/>
    <cellStyle name="Normal_PREÇO P. ALEGRE-2 2" xfId="17"/>
    <cellStyle name="Porcentagem" xfId="18" builtinId="5"/>
    <cellStyle name="Porcentagem 2" xfId="19"/>
    <cellStyle name="Porcentagem 2 2" xfId="20"/>
    <cellStyle name="Porcentagem 2 2 2" xfId="21"/>
    <cellStyle name="Porcentagem 3" xfId="22"/>
    <cellStyle name="Porcentagem 4" xfId="23"/>
    <cellStyle name="Porcentagem 5 2" xfId="24"/>
    <cellStyle name="Separador de milhares 2" xfId="25"/>
    <cellStyle name="Separador de milhares 2 2" xfId="26"/>
    <cellStyle name="Separador de milhares 3" xfId="27"/>
    <cellStyle name="Vírgula" xfId="28" builtinId="3"/>
    <cellStyle name="Vírgula 2" xfId="29"/>
    <cellStyle name="Vírgula 2 2" xfId="30"/>
    <cellStyle name="Vírgula 2 2 2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19050</xdr:rowOff>
    </xdr:from>
    <xdr:to>
      <xdr:col>1</xdr:col>
      <xdr:colOff>1495425</xdr:colOff>
      <xdr:row>2</xdr:row>
      <xdr:rowOff>581025</xdr:rowOff>
    </xdr:to>
    <xdr:pic>
      <xdr:nvPicPr>
        <xdr:cNvPr id="5239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42900"/>
          <a:ext cx="14573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nsilva/Meus%20documentos/Nosvaldo/Novos%20Neg&#243;cios/Feira%20de%20Santana/Comp%20Custos-Out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sum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oposta/S&#227;o%20Paulo%20Varri&#231;&#227;o%2001_SES_05%20(jun-2006)/Custo%20Final/Agr%20III/Custos%20com%20CC%20e%20Depr%20SP%20ago%202006-Agr%20III-Final-Composi&#231;&#245;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INDOWS/Temporary%20Internet%20Files/Content.IE5/RB9JZPGW/Composi&#231;&#245;es/Agrupamento%20III%20-%20Sul/11-Remo&#231;&#227;o%20Mecanizada%20de%20Entulh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osvaldo/Nosvaldo/Padroniza&#231;&#227;o%20de%20Planilhas/Planilha%20Custo%20e%20Pre&#231;o.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inhamento"/>
      <sheetName val="Mão de Obra e Materiais"/>
      <sheetName val="Comp-Mão-de-Obra_Direta"/>
      <sheetName val="1Dom"/>
      <sheetName val="2Hosp-GGer"/>
      <sheetName val="2Hosp-PGer"/>
      <sheetName val="3EntMan"/>
      <sheetName val="3EntMec"/>
      <sheetName val="3EntCxBrooks"/>
      <sheetName val="4ColPodas"/>
      <sheetName val="5VarrMan"/>
      <sheetName val="5VarrMec"/>
      <sheetName val="5Lav"/>
      <sheetName val="6ServEsp"/>
      <sheetName val="6ServEsp (2)"/>
      <sheetName val="5OperLav"/>
      <sheetName val="7AteSan"/>
      <sheetName val="CompAte"/>
      <sheetName val="CamLimpaFossa"/>
      <sheetName val="CamCarroc"/>
      <sheetName val="CamMunck"/>
      <sheetName val="BascToco"/>
      <sheetName val="Caminhão Pipa"/>
      <sheetName val="Poliguind"/>
      <sheetName val="ColCompact"/>
      <sheetName val="D65"/>
      <sheetName val="TratorAgr"/>
      <sheetName val="Retro"/>
      <sheetName val="W20"/>
      <sheetName val="Escavad"/>
      <sheetName val="Planilha-Preços"/>
      <sheetName val="Comparativo de Preços"/>
      <sheetName val="2006"/>
      <sheetName val="Banco"/>
      <sheetName val="Unif"/>
      <sheetName val="MO e Materiais-Aterro"/>
      <sheetName val="6- At. Sanitário"/>
      <sheetName val="Planilha Custo"/>
      <sheetName val="Planilha Preço"/>
      <sheetName val="BDI"/>
      <sheetName val="Enc Soc"/>
      <sheetName val="MEC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v03"/>
      <sheetName val="Ago01"/>
      <sheetName val="Plan3"/>
      <sheetName val="Insumos"/>
      <sheetName val="70-30"/>
      <sheetName val="Caminhão Trucado"/>
      <sheetName val="Dados de Coleta"/>
      <sheetName val="Out_01"/>
    </sheetNames>
    <sheetDataSet>
      <sheetData sheetId="0" refreshError="1">
        <row r="8">
          <cell r="B8">
            <v>36892</v>
          </cell>
        </row>
        <row r="9">
          <cell r="C9">
            <v>240</v>
          </cell>
        </row>
        <row r="10">
          <cell r="C10">
            <v>539.59</v>
          </cell>
        </row>
        <row r="11">
          <cell r="C11">
            <v>453.67</v>
          </cell>
        </row>
        <row r="12">
          <cell r="C12">
            <v>315.62</v>
          </cell>
          <cell r="D12">
            <v>100.95</v>
          </cell>
          <cell r="E12">
            <v>38.25</v>
          </cell>
        </row>
        <row r="13">
          <cell r="C13">
            <v>862.71</v>
          </cell>
          <cell r="D13">
            <v>168.75</v>
          </cell>
          <cell r="E13">
            <v>78.8</v>
          </cell>
        </row>
        <row r="18">
          <cell r="E18">
            <v>1.7</v>
          </cell>
        </row>
        <row r="19">
          <cell r="E19">
            <v>2.85</v>
          </cell>
        </row>
        <row r="21">
          <cell r="E21">
            <v>13.75</v>
          </cell>
        </row>
        <row r="22">
          <cell r="E22">
            <v>11.2</v>
          </cell>
        </row>
        <row r="23">
          <cell r="E23">
            <v>17.899999999999999</v>
          </cell>
        </row>
        <row r="24">
          <cell r="E24">
            <v>23</v>
          </cell>
        </row>
        <row r="25">
          <cell r="E25">
            <v>3.5</v>
          </cell>
        </row>
        <row r="26">
          <cell r="E26">
            <v>0.85</v>
          </cell>
        </row>
        <row r="27">
          <cell r="E27">
            <v>2.5</v>
          </cell>
        </row>
        <row r="28">
          <cell r="E28">
            <v>7.1</v>
          </cell>
        </row>
        <row r="29">
          <cell r="E29">
            <v>7</v>
          </cell>
        </row>
        <row r="30">
          <cell r="E30">
            <v>16</v>
          </cell>
        </row>
        <row r="32">
          <cell r="E32">
            <v>104.15</v>
          </cell>
        </row>
        <row r="33">
          <cell r="E33">
            <v>18.27</v>
          </cell>
        </row>
        <row r="34">
          <cell r="E34">
            <v>1868</v>
          </cell>
        </row>
        <row r="37">
          <cell r="E37">
            <v>135</v>
          </cell>
        </row>
        <row r="41">
          <cell r="E41">
            <v>0.13</v>
          </cell>
        </row>
        <row r="42">
          <cell r="E42">
            <v>3.16</v>
          </cell>
        </row>
        <row r="43">
          <cell r="E43">
            <v>0.89</v>
          </cell>
        </row>
        <row r="45">
          <cell r="E45">
            <v>55.71</v>
          </cell>
        </row>
        <row r="46">
          <cell r="E46">
            <v>0.56999999999999995</v>
          </cell>
        </row>
        <row r="47">
          <cell r="E47">
            <v>1.17</v>
          </cell>
        </row>
        <row r="48">
          <cell r="E48">
            <v>48.8</v>
          </cell>
        </row>
        <row r="49">
          <cell r="E49">
            <v>3</v>
          </cell>
        </row>
        <row r="50">
          <cell r="E50">
            <v>2.9</v>
          </cell>
        </row>
        <row r="51">
          <cell r="E51">
            <v>0.59</v>
          </cell>
        </row>
        <row r="52">
          <cell r="E52">
            <v>5.55</v>
          </cell>
        </row>
        <row r="53">
          <cell r="E53">
            <v>4.9000000000000004</v>
          </cell>
        </row>
        <row r="54">
          <cell r="E54">
            <v>5.9</v>
          </cell>
        </row>
        <row r="55">
          <cell r="E55">
            <v>9</v>
          </cell>
        </row>
        <row r="56">
          <cell r="E56">
            <v>19</v>
          </cell>
        </row>
        <row r="57">
          <cell r="E57">
            <v>2.5</v>
          </cell>
        </row>
        <row r="58">
          <cell r="E58">
            <v>5.9</v>
          </cell>
        </row>
        <row r="59">
          <cell r="E59">
            <v>13.23</v>
          </cell>
        </row>
        <row r="68">
          <cell r="E68">
            <v>88900</v>
          </cell>
        </row>
        <row r="69">
          <cell r="E69">
            <v>110900</v>
          </cell>
        </row>
        <row r="70">
          <cell r="E70">
            <v>19127</v>
          </cell>
        </row>
        <row r="71">
          <cell r="E71">
            <v>113400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e Inv. sem Fin-Mês"/>
      <sheetName val="Análise Inv. com Fin-Mês"/>
      <sheetName val="Análise Loc. sem Fin-Mês"/>
      <sheetName val="Análise Loc. com Fin-Mês"/>
      <sheetName val="Análise Inv. sem Fin"/>
      <sheetName val="Análise Inv. com Fin"/>
      <sheetName val="Análise Loc. sem Fin"/>
      <sheetName val="Análise Loc. com Fin"/>
      <sheetName val="Agr III"/>
      <sheetName val="Curva de Insumos"/>
      <sheetName val="Curva de Insumos Loc"/>
      <sheetName val="01-C. Varr."/>
      <sheetName val="03-Varrição"/>
      <sheetName val="04-Varr Feiras"/>
      <sheetName val="05-V Man Calç."/>
      <sheetName val="06-V Mec"/>
      <sheetName val="07-Lav Feiras"/>
      <sheetName val="08-Col. R. Vol"/>
      <sheetName val="09-Limp  Monum"/>
      <sheetName val="10.1-S. Div c Cam"/>
      <sheetName val="10.2-S. Div s Cam"/>
      <sheetName val="11.1 Col Mec Até 10km"/>
      <sheetName val="11.2 Col Mec Acima 10km"/>
      <sheetName val="12.1 - Col Man Até 10km"/>
      <sheetName val="12.2 Col Man Acima 10km"/>
      <sheetName val="13-Lav. Esp Eq P"/>
      <sheetName val="Anexo V"/>
      <sheetName val="BDI"/>
      <sheetName val="01-C. Varr.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é 10km"/>
      <sheetName val="Acima 10km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mp. Equipamentos_coleta"/>
      <sheetName val="Comp. Veículos_Aterro"/>
      <sheetName val="comp.eqpto_Aterro"/>
      <sheetName val="01-Coleta"/>
      <sheetName val="1.1-Coleta Regular"/>
      <sheetName val="1.2-Coleta Sel PP"/>
      <sheetName val="1.3-Coleta Sel Esc"/>
      <sheetName val="1.4-Coleta Sel Óleos"/>
      <sheetName val="1.5-Coleta Res. Dom. Esp."/>
      <sheetName val="2.1-Coleta Res. Volumosos"/>
      <sheetName val="2.2-Coleta Res. Constr. Civil"/>
      <sheetName val="2.3.1-Coleta RSS-Gr. Ger."/>
      <sheetName val="2.3.2-Coleta RSS-Peq. Ger."/>
      <sheetName val="3.1-Varrição"/>
      <sheetName val="3.2-V Mec"/>
      <sheetName val="3.3-Limp. Calçadões"/>
      <sheetName val="4.1-Lav Feiras"/>
      <sheetName val="4.2-Lav Loc. Públ."/>
      <sheetName val="4.3-Limp. Dren Urb"/>
      <sheetName val="4.4-Eq. Serv. Gerais"/>
      <sheetName val="5.1-Kit Recicl"/>
      <sheetName val="5.2-Loc. e Manut Cont"/>
      <sheetName val="9-Trat._Saude"/>
      <sheetName val="Mão-de-Obra_Indireta"/>
      <sheetName val="Custos Indiretos"/>
      <sheetName val="Orç_Ref_Custo"/>
      <sheetName val="Simul. Preço"/>
      <sheetName val="Mão de Obra e Materiais"/>
      <sheetName val="MO e Materiais-Aterro"/>
      <sheetName val="Comp-Mão-de-Obra_Direta"/>
      <sheetName val="6- At. Sanitário"/>
      <sheetName val="Planilha Custo"/>
      <sheetName val="Planilha Preço"/>
      <sheetName val="BDI"/>
      <sheetName val="Enc Soc"/>
      <sheetName val="Supor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9">
          <cell r="D59">
            <v>16.399999999999999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F30"/>
  <sheetViews>
    <sheetView showGridLines="0" tabSelected="1" view="pageBreakPreview" zoomScale="95" zoomScaleNormal="100" zoomScaleSheetLayoutView="95" workbookViewId="0">
      <selection activeCell="F5" sqref="F5"/>
    </sheetView>
  </sheetViews>
  <sheetFormatPr defaultRowHeight="12.75" x14ac:dyDescent="0.2"/>
  <cols>
    <col min="2" max="2" width="72.7109375" bestFit="1" customWidth="1"/>
    <col min="3" max="3" width="12.140625" bestFit="1" customWidth="1"/>
    <col min="4" max="4" width="12.85546875" customWidth="1"/>
    <col min="5" max="5" width="14.42578125" customWidth="1"/>
    <col min="6" max="6" width="15.42578125" bestFit="1" customWidth="1"/>
    <col min="7" max="7" width="10" customWidth="1"/>
  </cols>
  <sheetData>
    <row r="1" spans="1:6" x14ac:dyDescent="0.2">
      <c r="A1" s="542"/>
      <c r="B1" s="542"/>
      <c r="C1" s="1"/>
      <c r="D1" s="1"/>
      <c r="E1" s="1"/>
      <c r="F1" s="1"/>
    </row>
    <row r="2" spans="1:6" x14ac:dyDescent="0.2">
      <c r="A2" s="313" t="s">
        <v>361</v>
      </c>
      <c r="C2" s="1"/>
      <c r="D2" s="1"/>
      <c r="E2" s="538" t="s">
        <v>531</v>
      </c>
      <c r="F2" s="537">
        <f ca="1">NOW()</f>
        <v>43551.670944791666</v>
      </c>
    </row>
    <row r="3" spans="1:6" ht="15" x14ac:dyDescent="0.2">
      <c r="A3" s="279" t="s">
        <v>362</v>
      </c>
      <c r="C3" s="354"/>
      <c r="D3" s="354"/>
      <c r="E3" s="354"/>
      <c r="F3" s="354"/>
    </row>
    <row r="4" spans="1:6" x14ac:dyDescent="0.2">
      <c r="A4" s="355"/>
      <c r="B4" s="1"/>
      <c r="C4" s="1"/>
      <c r="D4" s="1"/>
      <c r="E4" s="1"/>
      <c r="F4" s="1"/>
    </row>
    <row r="5" spans="1:6" x14ac:dyDescent="0.2">
      <c r="A5" s="353"/>
      <c r="B5" s="1"/>
      <c r="C5" s="1"/>
      <c r="D5" s="1"/>
      <c r="E5" s="1"/>
      <c r="F5" s="1"/>
    </row>
    <row r="6" spans="1:6" ht="15.75" x14ac:dyDescent="0.2">
      <c r="A6" s="541" t="s">
        <v>378</v>
      </c>
      <c r="B6" s="541"/>
      <c r="C6" s="541"/>
      <c r="D6" s="541"/>
      <c r="E6" s="541"/>
      <c r="F6" s="541"/>
    </row>
    <row r="7" spans="1:6" x14ac:dyDescent="0.2">
      <c r="A7" s="355"/>
      <c r="B7" s="1"/>
      <c r="C7" s="1"/>
      <c r="D7" s="1"/>
      <c r="E7" s="1"/>
      <c r="F7" s="1"/>
    </row>
    <row r="8" spans="1:6" ht="13.5" thickBot="1" x14ac:dyDescent="0.25"/>
    <row r="9" spans="1:6" ht="13.5" thickBot="1" x14ac:dyDescent="0.25">
      <c r="A9" s="543" t="s">
        <v>24</v>
      </c>
      <c r="B9" s="544"/>
      <c r="C9" s="544"/>
      <c r="D9" s="544"/>
      <c r="E9" s="544"/>
      <c r="F9" s="545"/>
    </row>
    <row r="10" spans="1:6" ht="13.5" thickBot="1" x14ac:dyDescent="0.25">
      <c r="A10" s="546" t="s">
        <v>383</v>
      </c>
      <c r="B10" s="547"/>
      <c r="C10" s="548"/>
      <c r="D10" s="548"/>
      <c r="E10" s="548"/>
      <c r="F10" s="549"/>
    </row>
    <row r="11" spans="1:6" ht="26.25" customHeight="1" thickBot="1" x14ac:dyDescent="0.25">
      <c r="A11" s="312" t="s">
        <v>385</v>
      </c>
      <c r="B11" s="362" t="s">
        <v>18</v>
      </c>
      <c r="C11" s="374" t="s">
        <v>379</v>
      </c>
      <c r="D11" s="15" t="s">
        <v>2</v>
      </c>
      <c r="E11" s="376" t="s">
        <v>28</v>
      </c>
      <c r="F11" s="377" t="s">
        <v>386</v>
      </c>
    </row>
    <row r="12" spans="1:6" ht="13.5" thickBot="1" x14ac:dyDescent="0.25">
      <c r="A12" s="360" t="s">
        <v>381</v>
      </c>
      <c r="B12" s="363" t="s">
        <v>382</v>
      </c>
      <c r="C12" s="361" t="s">
        <v>96</v>
      </c>
      <c r="D12" s="5">
        <f>'RESUMO-P1-UTMB ASA SUL'!E76</f>
        <v>7800</v>
      </c>
      <c r="E12" s="518">
        <f>'RESUMO-P1-UTMB ASA SUL'!E77</f>
        <v>65.25</v>
      </c>
      <c r="F12" s="375">
        <f>D12*E12</f>
        <v>508950</v>
      </c>
    </row>
    <row r="13" spans="1:6" ht="13.5" thickBot="1" x14ac:dyDescent="0.25">
      <c r="A13" s="550" t="s">
        <v>380</v>
      </c>
      <c r="B13" s="551"/>
      <c r="C13" s="551"/>
      <c r="D13" s="551"/>
      <c r="E13" s="551"/>
      <c r="F13" s="359">
        <f>F12</f>
        <v>508950</v>
      </c>
    </row>
    <row r="14" spans="1:6" x14ac:dyDescent="0.2">
      <c r="A14" s="1"/>
      <c r="B14" s="356" t="s">
        <v>21</v>
      </c>
      <c r="C14" s="1"/>
      <c r="D14" s="1"/>
      <c r="E14" s="1"/>
      <c r="F14" s="1"/>
    </row>
    <row r="15" spans="1:6" x14ac:dyDescent="0.2">
      <c r="A15" s="1"/>
      <c r="B15" s="356"/>
      <c r="C15" s="1"/>
      <c r="D15" s="1"/>
      <c r="E15" s="1"/>
      <c r="F15" s="1"/>
    </row>
    <row r="16" spans="1:6" x14ac:dyDescent="0.2">
      <c r="A16" s="1"/>
      <c r="B16" s="356"/>
      <c r="C16" s="1"/>
      <c r="D16" s="1"/>
      <c r="E16" s="1"/>
      <c r="F16" s="1"/>
    </row>
    <row r="17" spans="1:6" x14ac:dyDescent="0.2">
      <c r="A17" s="1"/>
      <c r="B17" s="356"/>
      <c r="C17" s="1"/>
      <c r="D17" s="1"/>
      <c r="E17" s="1"/>
      <c r="F17" s="1"/>
    </row>
    <row r="18" spans="1:6" ht="13.5" thickBot="1" x14ac:dyDescent="0.25">
      <c r="A18" s="1"/>
      <c r="B18" s="356"/>
      <c r="C18" s="1"/>
      <c r="D18" s="1"/>
      <c r="E18" s="1"/>
      <c r="F18" s="1"/>
    </row>
    <row r="19" spans="1:6" ht="13.5" thickBot="1" x14ac:dyDescent="0.25">
      <c r="A19" s="539" t="s">
        <v>384</v>
      </c>
      <c r="B19" s="540"/>
      <c r="C19" s="540"/>
      <c r="D19" s="540"/>
      <c r="E19" s="540"/>
      <c r="F19" s="540"/>
    </row>
    <row r="20" spans="1:6" ht="25.5" x14ac:dyDescent="0.2">
      <c r="A20" s="369" t="s">
        <v>385</v>
      </c>
      <c r="B20" s="373" t="str">
        <f>B11</f>
        <v>Descrição do Serviço</v>
      </c>
      <c r="C20" s="370" t="str">
        <f>D11</f>
        <v>Quantidade</v>
      </c>
      <c r="D20" s="370" t="str">
        <f>C11</f>
        <v>UND</v>
      </c>
      <c r="E20" s="371" t="s">
        <v>387</v>
      </c>
      <c r="F20" s="372" t="s">
        <v>388</v>
      </c>
    </row>
    <row r="21" spans="1:6" ht="13.5" thickBot="1" x14ac:dyDescent="0.25">
      <c r="A21" s="364" t="s">
        <v>381</v>
      </c>
      <c r="B21" s="517" t="str">
        <f>B12</f>
        <v xml:space="preserve"> Operação da Usina de Triagem e Compostagem da Asa Sul (UTMB ASA SUL)</v>
      </c>
      <c r="C21" s="365">
        <f>D12</f>
        <v>7800</v>
      </c>
      <c r="D21" s="366" t="str">
        <f>C12</f>
        <v>t/mês</v>
      </c>
      <c r="E21" s="367">
        <f>F13</f>
        <v>508950</v>
      </c>
      <c r="F21" s="368">
        <f>E21*6</f>
        <v>3053700</v>
      </c>
    </row>
    <row r="22" spans="1:6" x14ac:dyDescent="0.2">
      <c r="A22" s="1"/>
      <c r="B22" s="356"/>
      <c r="C22" s="1"/>
      <c r="D22" s="357"/>
    </row>
    <row r="23" spans="1:6" x14ac:dyDescent="0.2">
      <c r="A23" s="1"/>
      <c r="B23" s="1"/>
      <c r="C23" s="1"/>
      <c r="D23" s="14"/>
      <c r="E23" s="358"/>
      <c r="F23" s="358"/>
    </row>
    <row r="28" spans="1:6" s="275" customFormat="1" x14ac:dyDescent="0.2">
      <c r="A28" s="528"/>
      <c r="B28" s="528"/>
      <c r="C28" s="528"/>
      <c r="D28" s="528"/>
      <c r="E28" s="528"/>
    </row>
    <row r="29" spans="1:6" s="275" customFormat="1" x14ac:dyDescent="0.2">
      <c r="A29" s="529"/>
      <c r="B29" s="529"/>
      <c r="C29" s="529"/>
      <c r="D29" s="529"/>
      <c r="E29" s="529"/>
    </row>
    <row r="30" spans="1:6" x14ac:dyDescent="0.2">
      <c r="E30" s="355"/>
      <c r="F30" s="355"/>
    </row>
  </sheetData>
  <sheetProtection password="C7D3" sheet="1" objects="1" scenarios="1"/>
  <mergeCells count="6">
    <mergeCell ref="A19:F19"/>
    <mergeCell ref="A6:F6"/>
    <mergeCell ref="A1:B1"/>
    <mergeCell ref="A9:F9"/>
    <mergeCell ref="A10:F10"/>
    <mergeCell ref="A13:E13"/>
  </mergeCells>
  <pageMargins left="0.511811024" right="0.511811024" top="0.78740157499999996" bottom="0.78740157499999996" header="0.31496062000000002" footer="0.31496062000000002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tabColor theme="7" tint="-0.249977111117893"/>
    <pageSetUpPr fitToPage="1"/>
  </sheetPr>
  <dimension ref="A1:F85"/>
  <sheetViews>
    <sheetView showGridLines="0" view="pageBreakPreview" topLeftCell="A52" zoomScale="130" zoomScaleNormal="85" zoomScaleSheetLayoutView="130" workbookViewId="0">
      <selection activeCell="B67" sqref="B67:C67"/>
    </sheetView>
  </sheetViews>
  <sheetFormatPr defaultRowHeight="12.75" x14ac:dyDescent="0.2"/>
  <cols>
    <col min="1" max="1" width="16.42578125" style="275" customWidth="1"/>
    <col min="2" max="2" width="28.140625" style="275" customWidth="1"/>
    <col min="3" max="3" width="10.85546875" style="275" customWidth="1"/>
    <col min="4" max="4" width="10.7109375" style="275" bestFit="1" customWidth="1"/>
    <col min="5" max="5" width="17" style="275" customWidth="1"/>
    <col min="6" max="6" width="10.42578125" style="275" bestFit="1" customWidth="1"/>
    <col min="7" max="8" width="10.5703125" style="275" bestFit="1" customWidth="1"/>
    <col min="9" max="16384" width="9.140625" style="275"/>
  </cols>
  <sheetData>
    <row r="1" spans="1:5" x14ac:dyDescent="0.2">
      <c r="A1" s="313" t="s">
        <v>361</v>
      </c>
    </row>
    <row r="2" spans="1:5" x14ac:dyDescent="0.2">
      <c r="A2" s="279" t="s">
        <v>362</v>
      </c>
    </row>
    <row r="3" spans="1:5" ht="48" customHeight="1" x14ac:dyDescent="0.2"/>
    <row r="4" spans="1:5" ht="54" customHeight="1" thickBot="1" x14ac:dyDescent="0.25">
      <c r="A4" s="555" t="s">
        <v>358</v>
      </c>
      <c r="B4" s="555"/>
      <c r="C4" s="555"/>
      <c r="D4" s="555"/>
      <c r="E4" s="555"/>
    </row>
    <row r="5" spans="1:5" ht="26.25" customHeight="1" thickBot="1" x14ac:dyDescent="0.25">
      <c r="A5" s="562" t="s">
        <v>0</v>
      </c>
      <c r="B5" s="563"/>
      <c r="C5" s="237" t="s">
        <v>1</v>
      </c>
      <c r="D5" s="237" t="s">
        <v>2</v>
      </c>
      <c r="E5" s="16" t="s">
        <v>363</v>
      </c>
    </row>
    <row r="6" spans="1:5" ht="12.75" customHeight="1" thickBot="1" x14ac:dyDescent="0.25">
      <c r="A6" s="278"/>
      <c r="B6" s="279"/>
      <c r="C6" s="279"/>
      <c r="D6" s="279"/>
      <c r="E6" s="280"/>
    </row>
    <row r="7" spans="1:5" x14ac:dyDescent="0.2">
      <c r="A7" s="552" t="s">
        <v>4</v>
      </c>
      <c r="B7" s="2" t="s">
        <v>194</v>
      </c>
      <c r="C7" s="8" t="s">
        <v>3</v>
      </c>
      <c r="D7" s="3">
        <v>1</v>
      </c>
      <c r="E7" s="9">
        <f>'MDO-P1-OP USINA UTMB ASA SUL'!E25</f>
        <v>11077.794142588125</v>
      </c>
    </row>
    <row r="8" spans="1:5" x14ac:dyDescent="0.2">
      <c r="A8" s="553"/>
      <c r="B8" s="4" t="s">
        <v>195</v>
      </c>
      <c r="C8" s="10" t="s">
        <v>3</v>
      </c>
      <c r="D8" s="5">
        <v>1</v>
      </c>
      <c r="E8" s="11">
        <f>'MDO-P1-OP USINA UTMB ASA SUL'!I25</f>
        <v>9324.2958748128658</v>
      </c>
    </row>
    <row r="9" spans="1:5" x14ac:dyDescent="0.2">
      <c r="A9" s="553"/>
      <c r="B9" s="4" t="s">
        <v>512</v>
      </c>
      <c r="C9" s="10" t="s">
        <v>3</v>
      </c>
      <c r="D9" s="5">
        <v>1</v>
      </c>
      <c r="E9" s="11">
        <f>'MDO-P1-OP USINA UTMB ASA SUL'!$I$153</f>
        <v>5146.7471688464448</v>
      </c>
    </row>
    <row r="10" spans="1:5" x14ac:dyDescent="0.2">
      <c r="A10" s="553"/>
      <c r="B10" s="4" t="s">
        <v>196</v>
      </c>
      <c r="C10" s="10" t="s">
        <v>3</v>
      </c>
      <c r="D10" s="5">
        <v>1</v>
      </c>
      <c r="E10" s="11">
        <f>'MDO-P1-OP USINA UTMB ASA SUL'!E41:F41</f>
        <v>51750.631942682521</v>
      </c>
    </row>
    <row r="11" spans="1:5" x14ac:dyDescent="0.2">
      <c r="A11" s="553"/>
      <c r="B11" s="4" t="s">
        <v>197</v>
      </c>
      <c r="C11" s="10" t="s">
        <v>3</v>
      </c>
      <c r="D11" s="5">
        <v>1</v>
      </c>
      <c r="E11" s="11">
        <f>'MDO-P1-OP USINA UTMB ASA SUL'!I41</f>
        <v>18861.642044676373</v>
      </c>
    </row>
    <row r="12" spans="1:5" x14ac:dyDescent="0.2">
      <c r="A12" s="553"/>
      <c r="B12" s="4" t="s">
        <v>198</v>
      </c>
      <c r="C12" s="10" t="s">
        <v>3</v>
      </c>
      <c r="D12" s="5">
        <v>1</v>
      </c>
      <c r="E12" s="11">
        <f>'MDO-P1-OP USINA UTMB ASA SUL'!E57:F57</f>
        <v>9678.3295573329269</v>
      </c>
    </row>
    <row r="13" spans="1:5" x14ac:dyDescent="0.2">
      <c r="A13" s="553"/>
      <c r="B13" s="4" t="s">
        <v>199</v>
      </c>
      <c r="C13" s="10" t="s">
        <v>3</v>
      </c>
      <c r="D13" s="5">
        <v>1</v>
      </c>
      <c r="E13" s="11">
        <f>'MDO-P1-OP USINA UTMB ASA SUL'!I57</f>
        <v>5399.5566874439692</v>
      </c>
    </row>
    <row r="14" spans="1:5" x14ac:dyDescent="0.2">
      <c r="A14" s="553"/>
      <c r="B14" s="4" t="s">
        <v>200</v>
      </c>
      <c r="C14" s="10" t="s">
        <v>3</v>
      </c>
      <c r="D14" s="5">
        <v>1</v>
      </c>
      <c r="E14" s="11">
        <f>'MDO-P1-OP USINA UTMB ASA SUL'!E73:F73</f>
        <v>4839.1647786664635</v>
      </c>
    </row>
    <row r="15" spans="1:5" x14ac:dyDescent="0.2">
      <c r="A15" s="553"/>
      <c r="B15" s="4" t="s">
        <v>201</v>
      </c>
      <c r="C15" s="10" t="s">
        <v>3</v>
      </c>
      <c r="D15" s="5">
        <v>1</v>
      </c>
      <c r="E15" s="11">
        <f>'MDO-P1-OP USINA UTMB ASA SUL'!I73</f>
        <v>5708.2641831212941</v>
      </c>
    </row>
    <row r="16" spans="1:5" x14ac:dyDescent="0.2">
      <c r="A16" s="553"/>
      <c r="B16" s="4" t="s">
        <v>202</v>
      </c>
      <c r="C16" s="10" t="s">
        <v>3</v>
      </c>
      <c r="D16" s="5">
        <v>1</v>
      </c>
      <c r="E16" s="11">
        <f>'MDO-P1-OP USINA UTMB ASA SUL'!E89:F89</f>
        <v>15870.484671269258</v>
      </c>
    </row>
    <row r="17" spans="1:5" x14ac:dyDescent="0.2">
      <c r="A17" s="553"/>
      <c r="B17" s="4" t="s">
        <v>203</v>
      </c>
      <c r="C17" s="10" t="s">
        <v>3</v>
      </c>
      <c r="D17" s="5">
        <v>1</v>
      </c>
      <c r="E17" s="11">
        <f>'MDO-P1-OP USINA UTMB ASA SUL'!I89</f>
        <v>8740.9580341923956</v>
      </c>
    </row>
    <row r="18" spans="1:5" x14ac:dyDescent="0.2">
      <c r="A18" s="553"/>
      <c r="B18" s="4" t="s">
        <v>204</v>
      </c>
      <c r="C18" s="10" t="s">
        <v>3</v>
      </c>
      <c r="D18" s="5">
        <v>1</v>
      </c>
      <c r="E18" s="11">
        <f>'MDO-P1-OP USINA UTMB ASA SUL'!E105:F105</f>
        <v>10669.642295519652</v>
      </c>
    </row>
    <row r="19" spans="1:5" x14ac:dyDescent="0.2">
      <c r="A19" s="553"/>
      <c r="B19" s="4" t="s">
        <v>205</v>
      </c>
      <c r="C19" s="10" t="s">
        <v>3</v>
      </c>
      <c r="D19" s="5">
        <v>1</v>
      </c>
      <c r="E19" s="11">
        <f>'MDO-P1-OP USINA UTMB ASA SUL'!I105</f>
        <v>5895.2130565373318</v>
      </c>
    </row>
    <row r="20" spans="1:5" x14ac:dyDescent="0.2">
      <c r="A20" s="553"/>
      <c r="B20" s="4" t="s">
        <v>206</v>
      </c>
      <c r="C20" s="10" t="s">
        <v>3</v>
      </c>
      <c r="D20" s="5">
        <v>1</v>
      </c>
      <c r="E20" s="11">
        <f>'MDO-P1-OP USINA UTMB ASA SUL'!E121:F121</f>
        <v>9653.0814850126626</v>
      </c>
    </row>
    <row r="21" spans="1:5" x14ac:dyDescent="0.2">
      <c r="A21" s="553"/>
      <c r="B21" s="4" t="s">
        <v>207</v>
      </c>
      <c r="C21" s="10" t="s">
        <v>3</v>
      </c>
      <c r="D21" s="5">
        <v>1</v>
      </c>
      <c r="E21" s="11">
        <f>'MDO-P1-OP USINA UTMB ASA SUL'!I121</f>
        <v>5384.6508197853254</v>
      </c>
    </row>
    <row r="22" spans="1:5" x14ac:dyDescent="0.2">
      <c r="A22" s="553"/>
      <c r="B22" s="4" t="s">
        <v>208</v>
      </c>
      <c r="C22" s="10" t="s">
        <v>3</v>
      </c>
      <c r="D22" s="5">
        <v>1</v>
      </c>
      <c r="E22" s="11">
        <f>'MDO-P1-OP USINA UTMB ASA SUL'!E137:F137</f>
        <v>19306.162970025325</v>
      </c>
    </row>
    <row r="23" spans="1:5" x14ac:dyDescent="0.2">
      <c r="A23" s="553"/>
      <c r="B23" s="4" t="s">
        <v>209</v>
      </c>
      <c r="C23" s="10" t="s">
        <v>3</v>
      </c>
      <c r="D23" s="5">
        <v>1</v>
      </c>
      <c r="E23" s="11">
        <f>'MDO-P1-OP USINA UTMB ASA SUL'!I137</f>
        <v>5384.6508197853254</v>
      </c>
    </row>
    <row r="24" spans="1:5" x14ac:dyDescent="0.2">
      <c r="A24" s="553"/>
      <c r="B24" s="6" t="s">
        <v>210</v>
      </c>
      <c r="C24" s="12" t="s">
        <v>3</v>
      </c>
      <c r="D24" s="7">
        <v>1</v>
      </c>
      <c r="E24" s="13">
        <f>'MDO-P1-OP USINA UTMB ASA SUL'!E153:F153</f>
        <v>6425.1737093836291</v>
      </c>
    </row>
    <row r="25" spans="1:5" ht="13.5" thickBot="1" x14ac:dyDescent="0.25">
      <c r="A25" s="554"/>
      <c r="B25" s="281" t="s">
        <v>5</v>
      </c>
      <c r="C25" s="282"/>
      <c r="D25" s="283"/>
      <c r="E25" s="284">
        <f>SUM(E7:E24)</f>
        <v>209116.44424168189</v>
      </c>
    </row>
    <row r="26" spans="1:5" ht="13.5" thickBot="1" x14ac:dyDescent="0.25">
      <c r="A26" s="286"/>
      <c r="B26" s="287"/>
      <c r="C26" s="287"/>
      <c r="D26" s="287"/>
      <c r="E26" s="288"/>
    </row>
    <row r="27" spans="1:5" ht="12.75" hidden="1" customHeight="1" x14ac:dyDescent="0.2">
      <c r="A27" s="552" t="s">
        <v>6</v>
      </c>
      <c r="B27" s="2" t="s">
        <v>301</v>
      </c>
      <c r="C27" s="8" t="s">
        <v>3</v>
      </c>
      <c r="D27" s="3">
        <v>1</v>
      </c>
      <c r="E27" s="9" t="e">
        <f>'MDO-P1-OP USINA UTMB ASA SUL'!#REF!</f>
        <v>#REF!</v>
      </c>
    </row>
    <row r="28" spans="1:5" ht="12.75" customHeight="1" x14ac:dyDescent="0.2">
      <c r="A28" s="553"/>
      <c r="B28" s="4" t="s">
        <v>194</v>
      </c>
      <c r="C28" s="10" t="s">
        <v>3</v>
      </c>
      <c r="D28" s="5">
        <v>1</v>
      </c>
      <c r="E28" s="11">
        <f>'MDO-P1-OP USINA UTMB ASA SUL'!G185</f>
        <v>135.18</v>
      </c>
    </row>
    <row r="29" spans="1:5" ht="27.75" customHeight="1" x14ac:dyDescent="0.2">
      <c r="A29" s="553"/>
      <c r="B29" s="291" t="s">
        <v>515</v>
      </c>
      <c r="C29" s="10" t="s">
        <v>3</v>
      </c>
      <c r="D29" s="5">
        <v>1</v>
      </c>
      <c r="E29" s="11">
        <f>'MDO-P1-OP USINA UTMB ASA SUL'!G202</f>
        <v>210</v>
      </c>
    </row>
    <row r="30" spans="1:5" ht="12.75" customHeight="1" x14ac:dyDescent="0.2">
      <c r="A30" s="553"/>
      <c r="B30" s="4" t="s">
        <v>196</v>
      </c>
      <c r="C30" s="10" t="s">
        <v>3</v>
      </c>
      <c r="D30" s="5">
        <v>1</v>
      </c>
      <c r="E30" s="11">
        <f>'MDO-P1-OP USINA UTMB ASA SUL'!G219</f>
        <v>1096.32</v>
      </c>
    </row>
    <row r="31" spans="1:5" ht="12.75" customHeight="1" x14ac:dyDescent="0.2">
      <c r="A31" s="553"/>
      <c r="B31" s="4" t="s">
        <v>197</v>
      </c>
      <c r="C31" s="10" t="s">
        <v>3</v>
      </c>
      <c r="D31" s="5">
        <v>1</v>
      </c>
      <c r="E31" s="11">
        <f>'MDO-P1-OP USINA UTMB ASA SUL'!G235</f>
        <v>255.6</v>
      </c>
    </row>
    <row r="32" spans="1:5" ht="12.75" customHeight="1" x14ac:dyDescent="0.2">
      <c r="A32" s="553"/>
      <c r="B32" s="4" t="s">
        <v>198</v>
      </c>
      <c r="C32" s="10" t="s">
        <v>3</v>
      </c>
      <c r="D32" s="5">
        <v>1</v>
      </c>
      <c r="E32" s="11">
        <f>'MDO-P1-OP USINA UTMB ASA SUL'!G252</f>
        <v>135.18</v>
      </c>
    </row>
    <row r="33" spans="1:5" ht="12.75" customHeight="1" x14ac:dyDescent="0.2">
      <c r="A33" s="553"/>
      <c r="B33" s="4" t="s">
        <v>199</v>
      </c>
      <c r="C33" s="10" t="s">
        <v>3</v>
      </c>
      <c r="D33" s="5">
        <v>1</v>
      </c>
      <c r="E33" s="11">
        <f>'MDO-P1-OP USINA UTMB ASA SUL'!G268</f>
        <v>40.130000000000003</v>
      </c>
    </row>
    <row r="34" spans="1:5" ht="12.75" customHeight="1" x14ac:dyDescent="0.2">
      <c r="A34" s="553"/>
      <c r="B34" s="4" t="s">
        <v>200</v>
      </c>
      <c r="C34" s="10" t="s">
        <v>3</v>
      </c>
      <c r="D34" s="5">
        <v>1</v>
      </c>
      <c r="E34" s="11">
        <f>'MDO-P1-OP USINA UTMB ASA SUL'!G285</f>
        <v>67.59</v>
      </c>
    </row>
    <row r="35" spans="1:5" ht="12.75" customHeight="1" x14ac:dyDescent="0.2">
      <c r="A35" s="553"/>
      <c r="B35" s="4" t="s">
        <v>201</v>
      </c>
      <c r="C35" s="10" t="s">
        <v>3</v>
      </c>
      <c r="D35" s="5">
        <v>1</v>
      </c>
      <c r="E35" s="11">
        <f>'MDO-P1-OP USINA UTMB ASA SUL'!G301</f>
        <v>40.130000000000003</v>
      </c>
    </row>
    <row r="36" spans="1:5" ht="12.75" customHeight="1" x14ac:dyDescent="0.2">
      <c r="A36" s="553"/>
      <c r="B36" s="4" t="s">
        <v>202</v>
      </c>
      <c r="C36" s="10" t="s">
        <v>3</v>
      </c>
      <c r="D36" s="5">
        <v>1</v>
      </c>
      <c r="E36" s="11">
        <f>'MDO-P1-OP USINA UTMB ASA SUL'!G318</f>
        <v>352.8</v>
      </c>
    </row>
    <row r="37" spans="1:5" ht="12.75" customHeight="1" x14ac:dyDescent="0.2">
      <c r="A37" s="553"/>
      <c r="B37" s="4" t="s">
        <v>203</v>
      </c>
      <c r="C37" s="10" t="s">
        <v>3</v>
      </c>
      <c r="D37" s="5">
        <v>1</v>
      </c>
      <c r="E37" s="11">
        <f>'MDO-P1-OP USINA UTMB ASA SUL'!G334</f>
        <v>121.48</v>
      </c>
    </row>
    <row r="38" spans="1:5" ht="12.75" customHeight="1" x14ac:dyDescent="0.2">
      <c r="A38" s="553"/>
      <c r="B38" s="4" t="s">
        <v>204</v>
      </c>
      <c r="C38" s="10" t="s">
        <v>3</v>
      </c>
      <c r="D38" s="5">
        <v>1</v>
      </c>
      <c r="E38" s="11">
        <f>'MDO-P1-OP USINA UTMB ASA SUL'!G351</f>
        <v>176.4</v>
      </c>
    </row>
    <row r="39" spans="1:5" ht="12.75" customHeight="1" x14ac:dyDescent="0.2">
      <c r="A39" s="553"/>
      <c r="B39" s="4" t="s">
        <v>205</v>
      </c>
      <c r="C39" s="10" t="s">
        <v>3</v>
      </c>
      <c r="D39" s="5">
        <v>1</v>
      </c>
      <c r="E39" s="11">
        <f>'MDO-P1-OP USINA UTMB ASA SUL'!G367</f>
        <v>60.74</v>
      </c>
    </row>
    <row r="40" spans="1:5" ht="12.75" customHeight="1" x14ac:dyDescent="0.2">
      <c r="A40" s="553"/>
      <c r="B40" s="4" t="s">
        <v>206</v>
      </c>
      <c r="C40" s="10" t="s">
        <v>3</v>
      </c>
      <c r="D40" s="5">
        <v>1</v>
      </c>
      <c r="E40" s="11">
        <f>'MDO-P1-OP USINA UTMB ASA SUL'!G384</f>
        <v>177.78</v>
      </c>
    </row>
    <row r="41" spans="1:5" ht="12.75" customHeight="1" x14ac:dyDescent="0.2">
      <c r="A41" s="553"/>
      <c r="B41" s="4" t="s">
        <v>207</v>
      </c>
      <c r="C41" s="10" t="s">
        <v>3</v>
      </c>
      <c r="D41" s="5">
        <v>1</v>
      </c>
      <c r="E41" s="11">
        <f>'MDO-P1-OP USINA UTMB ASA SUL'!G400</f>
        <v>61.43</v>
      </c>
    </row>
    <row r="42" spans="1:5" ht="12.75" customHeight="1" x14ac:dyDescent="0.2">
      <c r="A42" s="553"/>
      <c r="B42" s="4" t="s">
        <v>208</v>
      </c>
      <c r="C42" s="10" t="s">
        <v>3</v>
      </c>
      <c r="D42" s="5">
        <v>1</v>
      </c>
      <c r="E42" s="11">
        <f>'MDO-P1-OP USINA UTMB ASA SUL'!G417</f>
        <v>352.8</v>
      </c>
    </row>
    <row r="43" spans="1:5" ht="12.75" customHeight="1" x14ac:dyDescent="0.2">
      <c r="A43" s="553"/>
      <c r="B43" s="4" t="s">
        <v>209</v>
      </c>
      <c r="C43" s="10" t="s">
        <v>3</v>
      </c>
      <c r="D43" s="5">
        <v>1</v>
      </c>
      <c r="E43" s="11">
        <f>'MDO-P1-OP USINA UTMB ASA SUL'!G433</f>
        <v>60.74</v>
      </c>
    </row>
    <row r="44" spans="1:5" ht="12.75" customHeight="1" x14ac:dyDescent="0.2">
      <c r="A44" s="553"/>
      <c r="B44" s="6" t="s">
        <v>210</v>
      </c>
      <c r="C44" s="12" t="s">
        <v>3</v>
      </c>
      <c r="D44" s="7">
        <v>1</v>
      </c>
      <c r="E44" s="13">
        <f>'MDO-P1-OP USINA UTMB ASA SUL'!G450</f>
        <v>67.59</v>
      </c>
    </row>
    <row r="45" spans="1:5" ht="13.5" thickBot="1" x14ac:dyDescent="0.25">
      <c r="A45" s="554"/>
      <c r="B45" s="281" t="s">
        <v>7</v>
      </c>
      <c r="C45" s="282"/>
      <c r="D45" s="283"/>
      <c r="E45" s="284">
        <f>SUM(E28:E44)</f>
        <v>3411.8900000000003</v>
      </c>
    </row>
    <row r="46" spans="1:5" ht="13.5" thickBot="1" x14ac:dyDescent="0.25">
      <c r="A46" s="278"/>
      <c r="B46" s="279"/>
      <c r="C46" s="279"/>
      <c r="D46" s="279"/>
      <c r="E46" s="280"/>
    </row>
    <row r="47" spans="1:5" ht="12.75" customHeight="1" x14ac:dyDescent="0.2">
      <c r="A47" s="552" t="s">
        <v>319</v>
      </c>
      <c r="B47" s="2" t="s">
        <v>320</v>
      </c>
      <c r="C47" s="8" t="s">
        <v>3</v>
      </c>
      <c r="D47" s="3">
        <v>1</v>
      </c>
      <c r="E47" s="9">
        <f>'Lote 01 - P1-UTMB ASA SUL '!G297</f>
        <v>15214.5</v>
      </c>
    </row>
    <row r="48" spans="1:5" ht="25.5" x14ac:dyDescent="0.2">
      <c r="A48" s="553"/>
      <c r="B48" s="291" t="s">
        <v>324</v>
      </c>
      <c r="C48" s="10" t="s">
        <v>3</v>
      </c>
      <c r="D48" s="5">
        <v>1</v>
      </c>
      <c r="E48" s="11">
        <f>'MDO-P1-OP USINA UTMB ASA SUL'!H167+'MDO-P1-OP USINA UTMB ASA SUL'!H455</f>
        <v>21952.57</v>
      </c>
    </row>
    <row r="49" spans="1:5" ht="25.5" x14ac:dyDescent="0.2">
      <c r="A49" s="553"/>
      <c r="B49" s="292" t="s">
        <v>321</v>
      </c>
      <c r="C49" s="12" t="s">
        <v>3</v>
      </c>
      <c r="D49" s="7">
        <v>1</v>
      </c>
      <c r="E49" s="13">
        <f>'Lote 01 - P1-UTMB ASA SUL '!G298</f>
        <v>52743.6</v>
      </c>
    </row>
    <row r="50" spans="1:5" ht="13.5" thickBot="1" x14ac:dyDescent="0.25">
      <c r="A50" s="554"/>
      <c r="B50" s="281" t="s">
        <v>8</v>
      </c>
      <c r="C50" s="282"/>
      <c r="D50" s="283"/>
      <c r="E50" s="284">
        <f>SUM(E47:E49)</f>
        <v>89910.67</v>
      </c>
    </row>
    <row r="51" spans="1:5" ht="13.5" thickBot="1" x14ac:dyDescent="0.25">
      <c r="A51" s="278"/>
      <c r="B51" s="279"/>
      <c r="C51" s="279"/>
      <c r="D51" s="279"/>
      <c r="E51" s="280"/>
    </row>
    <row r="52" spans="1:5" ht="25.5" customHeight="1" x14ac:dyDescent="0.2">
      <c r="A52" s="552" t="s">
        <v>325</v>
      </c>
      <c r="B52" s="556" t="s">
        <v>326</v>
      </c>
      <c r="C52" s="558" t="s">
        <v>3</v>
      </c>
      <c r="D52" s="558">
        <v>1</v>
      </c>
      <c r="E52" s="560">
        <f>'Lote 01 - P1-UTMB ASA SUL '!G300</f>
        <v>40558.097934412996</v>
      </c>
    </row>
    <row r="53" spans="1:5" ht="25.5" customHeight="1" x14ac:dyDescent="0.2">
      <c r="A53" s="553"/>
      <c r="B53" s="557"/>
      <c r="C53" s="559"/>
      <c r="D53" s="559"/>
      <c r="E53" s="561"/>
    </row>
    <row r="54" spans="1:5" ht="25.5" customHeight="1" x14ac:dyDescent="0.2">
      <c r="A54" s="553"/>
      <c r="B54" s="557"/>
      <c r="C54" s="559"/>
      <c r="D54" s="559"/>
      <c r="E54" s="561"/>
    </row>
    <row r="55" spans="1:5" ht="25.5" customHeight="1" x14ac:dyDescent="0.2">
      <c r="A55" s="553"/>
      <c r="B55" s="557"/>
      <c r="C55" s="559"/>
      <c r="D55" s="559"/>
      <c r="E55" s="561"/>
    </row>
    <row r="56" spans="1:5" x14ac:dyDescent="0.2">
      <c r="A56" s="553"/>
      <c r="B56" s="4" t="s">
        <v>9</v>
      </c>
      <c r="C56" s="10" t="s">
        <v>3</v>
      </c>
      <c r="D56" s="5">
        <v>1</v>
      </c>
      <c r="E56" s="11">
        <f>'Lote 01 - P1-UTMB ASA SUL '!G303</f>
        <v>93.52200000000002</v>
      </c>
    </row>
    <row r="57" spans="1:5" x14ac:dyDescent="0.2">
      <c r="A57" s="553"/>
      <c r="B57" s="6" t="s">
        <v>10</v>
      </c>
      <c r="C57" s="12" t="s">
        <v>3</v>
      </c>
      <c r="D57" s="7">
        <v>1</v>
      </c>
      <c r="E57" s="13">
        <f>'Lote 01 - P1-UTMB ASA SUL '!G304</f>
        <v>62.98</v>
      </c>
    </row>
    <row r="58" spans="1:5" ht="13.5" thickBot="1" x14ac:dyDescent="0.25">
      <c r="A58" s="554"/>
      <c r="B58" s="281" t="s">
        <v>12</v>
      </c>
      <c r="C58" s="282"/>
      <c r="D58" s="283"/>
      <c r="E58" s="284">
        <f>SUM(E52:E57)</f>
        <v>40714.599934412996</v>
      </c>
    </row>
    <row r="59" spans="1:5" ht="12.75" customHeight="1" x14ac:dyDescent="0.2">
      <c r="A59" s="552" t="s">
        <v>334</v>
      </c>
      <c r="B59" s="293" t="s">
        <v>357</v>
      </c>
      <c r="C59" s="294" t="s">
        <v>3</v>
      </c>
      <c r="D59" s="295">
        <v>1</v>
      </c>
      <c r="E59" s="296">
        <f>'RESUMO-P1-EQUIPE DE APOIO'!E33</f>
        <v>53607.932596355568</v>
      </c>
    </row>
    <row r="60" spans="1:5" ht="13.5" customHeight="1" thickBot="1" x14ac:dyDescent="0.25">
      <c r="A60" s="554"/>
      <c r="B60" s="281" t="s">
        <v>13</v>
      </c>
      <c r="C60" s="282"/>
      <c r="D60" s="283"/>
      <c r="E60" s="284">
        <f>SUM(E59:E59)</f>
        <v>53607.932596355568</v>
      </c>
    </row>
    <row r="61" spans="1:5" x14ac:dyDescent="0.2">
      <c r="A61" s="278"/>
      <c r="B61" s="279"/>
      <c r="C61" s="279"/>
      <c r="D61" s="279"/>
      <c r="E61" s="280"/>
    </row>
    <row r="62" spans="1:5" ht="13.5" customHeight="1" thickBot="1" x14ac:dyDescent="0.25">
      <c r="A62" s="278"/>
      <c r="B62" s="279"/>
      <c r="C62" s="279"/>
      <c r="D62" s="279"/>
      <c r="E62" s="280"/>
    </row>
    <row r="63" spans="1:5" ht="13.5" customHeight="1" thickBot="1" x14ac:dyDescent="0.25">
      <c r="A63" s="276" t="s">
        <v>14</v>
      </c>
      <c r="B63" s="285"/>
      <c r="C63" s="285"/>
      <c r="D63" s="285"/>
      <c r="E63" s="249">
        <f>E58+E50+E45+E25+E60</f>
        <v>396761.53677245043</v>
      </c>
    </row>
    <row r="64" spans="1:5" ht="13.5" thickBot="1" x14ac:dyDescent="0.25">
      <c r="A64" s="286"/>
      <c r="B64" s="287"/>
      <c r="C64" s="287"/>
      <c r="D64" s="287"/>
      <c r="E64" s="288"/>
    </row>
    <row r="65" spans="1:6" ht="13.5" thickBot="1" x14ac:dyDescent="0.25">
      <c r="A65" s="567" t="s">
        <v>508</v>
      </c>
      <c r="B65" s="568"/>
      <c r="C65" s="568"/>
      <c r="D65" s="526" t="s">
        <v>15</v>
      </c>
      <c r="E65" s="526" t="s">
        <v>16</v>
      </c>
    </row>
    <row r="66" spans="1:6" x14ac:dyDescent="0.2">
      <c r="A66" s="278"/>
      <c r="B66" s="566" t="s">
        <v>505</v>
      </c>
      <c r="C66" s="566"/>
      <c r="D66" s="964">
        <v>0.06</v>
      </c>
      <c r="E66" s="523">
        <f>$E$63*D66</f>
        <v>23805.692206347027</v>
      </c>
    </row>
    <row r="67" spans="1:6" x14ac:dyDescent="0.2">
      <c r="A67" s="278"/>
      <c r="B67" s="566" t="s">
        <v>506</v>
      </c>
      <c r="C67" s="566"/>
      <c r="D67" s="964">
        <v>0.04</v>
      </c>
      <c r="E67" s="523">
        <f>$E$63*D67</f>
        <v>15870.461470898017</v>
      </c>
    </row>
    <row r="68" spans="1:6" ht="13.5" thickBot="1" x14ac:dyDescent="0.25">
      <c r="A68" s="278"/>
      <c r="B68" s="566" t="s">
        <v>499</v>
      </c>
      <c r="C68" s="566"/>
      <c r="D68" s="527">
        <f>D66+D67</f>
        <v>0.1</v>
      </c>
      <c r="E68" s="519">
        <f>E66+E67</f>
        <v>39676.153677245042</v>
      </c>
    </row>
    <row r="69" spans="1:6" ht="13.5" thickBot="1" x14ac:dyDescent="0.25">
      <c r="A69" s="567" t="s">
        <v>500</v>
      </c>
      <c r="B69" s="568"/>
      <c r="C69" s="568"/>
      <c r="D69" s="288"/>
      <c r="E69" s="524"/>
    </row>
    <row r="70" spans="1:6" x14ac:dyDescent="0.2">
      <c r="A70" s="360"/>
      <c r="B70" s="566" t="s">
        <v>501</v>
      </c>
      <c r="C70" s="566"/>
      <c r="D70" s="965">
        <v>0.05</v>
      </c>
      <c r="E70" s="519">
        <f>$E$75*D70</f>
        <v>25448.261833801487</v>
      </c>
    </row>
    <row r="71" spans="1:6" x14ac:dyDescent="0.2">
      <c r="A71" s="360"/>
      <c r="B71" s="566" t="s">
        <v>502</v>
      </c>
      <c r="C71" s="566"/>
      <c r="D71" s="966">
        <v>1.6500000000000001E-2</v>
      </c>
      <c r="E71" s="519">
        <f>$E$75*D71</f>
        <v>8397.9264051544906</v>
      </c>
    </row>
    <row r="72" spans="1:6" x14ac:dyDescent="0.2">
      <c r="A72" s="360"/>
      <c r="B72" s="566" t="s">
        <v>503</v>
      </c>
      <c r="C72" s="566"/>
      <c r="D72" s="967">
        <v>7.5999999999999998E-2</v>
      </c>
      <c r="E72" s="519">
        <f>$E$75*D72</f>
        <v>38681.357987378258</v>
      </c>
    </row>
    <row r="73" spans="1:6" x14ac:dyDescent="0.2">
      <c r="A73" s="278"/>
      <c r="B73" s="566" t="s">
        <v>504</v>
      </c>
      <c r="C73" s="566"/>
      <c r="D73" s="521">
        <f>SUM(D70:D72)</f>
        <v>0.14250000000000002</v>
      </c>
      <c r="E73" s="519">
        <f>ROUND(D73*E75,2)</f>
        <v>72527.55</v>
      </c>
      <c r="F73" s="522"/>
    </row>
    <row r="74" spans="1:6" ht="13.5" thickBot="1" x14ac:dyDescent="0.25">
      <c r="A74" s="278"/>
      <c r="B74" s="279"/>
      <c r="C74" s="279"/>
      <c r="D74" s="520"/>
      <c r="E74" s="519"/>
    </row>
    <row r="75" spans="1:6" ht="13.5" thickBot="1" x14ac:dyDescent="0.25">
      <c r="A75" s="567" t="s">
        <v>507</v>
      </c>
      <c r="B75" s="568"/>
      <c r="C75" s="568"/>
      <c r="D75" s="569"/>
      <c r="E75" s="525">
        <f>(E63+E68)/(1-D73)</f>
        <v>508965.23667602974</v>
      </c>
    </row>
    <row r="76" spans="1:6" ht="13.5" thickBot="1" x14ac:dyDescent="0.25">
      <c r="A76" s="567" t="s">
        <v>328</v>
      </c>
      <c r="B76" s="568"/>
      <c r="C76" s="568"/>
      <c r="D76" s="569"/>
      <c r="E76" s="525">
        <v>7800</v>
      </c>
    </row>
    <row r="77" spans="1:6" ht="13.5" thickBot="1" x14ac:dyDescent="0.25">
      <c r="A77" s="276" t="str">
        <f>"PREÇO (R$/EQUIPE) C/ IMPOSTOS"</f>
        <v>PREÇO (R$/EQUIPE) C/ IMPOSTOS</v>
      </c>
      <c r="B77" s="285"/>
      <c r="C77" s="285"/>
      <c r="D77" s="285"/>
      <c r="E77" s="249">
        <f>ROUND(E75/E76,2)</f>
        <v>65.25</v>
      </c>
    </row>
    <row r="80" spans="1:6" x14ac:dyDescent="0.2">
      <c r="B80" s="289"/>
      <c r="C80" s="289"/>
      <c r="D80" s="289"/>
      <c r="E80" s="290"/>
    </row>
    <row r="81" spans="1:5" x14ac:dyDescent="0.2">
      <c r="A81" s="564"/>
      <c r="B81" s="564"/>
      <c r="C81" s="564"/>
      <c r="D81" s="564"/>
      <c r="E81" s="564"/>
    </row>
    <row r="82" spans="1:5" x14ac:dyDescent="0.2">
      <c r="A82" s="565"/>
      <c r="B82" s="565"/>
      <c r="C82" s="565"/>
      <c r="D82" s="565"/>
      <c r="E82" s="565"/>
    </row>
    <row r="85" spans="1:5" x14ac:dyDescent="0.2">
      <c r="E85" s="302"/>
    </row>
  </sheetData>
  <sheetProtection password="C7D3" sheet="1" objects="1" scenarios="1"/>
  <mergeCells count="26">
    <mergeCell ref="B68:C68"/>
    <mergeCell ref="A59:A60"/>
    <mergeCell ref="A52:A58"/>
    <mergeCell ref="A81:B81"/>
    <mergeCell ref="A82:B82"/>
    <mergeCell ref="C81:E81"/>
    <mergeCell ref="C82:E82"/>
    <mergeCell ref="B70:C70"/>
    <mergeCell ref="B71:C71"/>
    <mergeCell ref="B72:C72"/>
    <mergeCell ref="B73:C73"/>
    <mergeCell ref="A75:D75"/>
    <mergeCell ref="A76:D76"/>
    <mergeCell ref="A65:C65"/>
    <mergeCell ref="A69:C69"/>
    <mergeCell ref="B66:C66"/>
    <mergeCell ref="B67:C67"/>
    <mergeCell ref="A7:A25"/>
    <mergeCell ref="A27:A45"/>
    <mergeCell ref="A47:A50"/>
    <mergeCell ref="A4:E4"/>
    <mergeCell ref="B52:B55"/>
    <mergeCell ref="C52:C55"/>
    <mergeCell ref="D52:D55"/>
    <mergeCell ref="E52:E55"/>
    <mergeCell ref="A5:B5"/>
  </mergeCells>
  <phoneticPr fontId="2" type="noConversion"/>
  <printOptions horizontalCentered="1" verticalCentered="1"/>
  <pageMargins left="0.78740157480314965" right="0.59055118110236227" top="0.39370078740157483" bottom="0.39370078740157483" header="0.51181102362204722" footer="0.51181102362204722"/>
  <pageSetup paperSize="9" scale="59" orientation="portrait" r:id="rId1"/>
  <headerFooter alignWithMargins="0"/>
  <rowBreaks count="1" manualBreakCount="1">
    <brk id="64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tabColor rgb="FF00B050"/>
    <pageSetUpPr fitToPage="1"/>
  </sheetPr>
  <dimension ref="A1:E37"/>
  <sheetViews>
    <sheetView showGridLines="0" view="pageBreakPreview" zoomScale="130" zoomScaleNormal="85" zoomScaleSheetLayoutView="130" workbookViewId="0">
      <selection activeCell="J69" sqref="J69"/>
    </sheetView>
  </sheetViews>
  <sheetFormatPr defaultRowHeight="12.75" x14ac:dyDescent="0.2"/>
  <cols>
    <col min="1" max="1" width="16.42578125" style="275" customWidth="1"/>
    <col min="2" max="2" width="28.140625" style="275" customWidth="1"/>
    <col min="3" max="3" width="9.140625" style="275"/>
    <col min="4" max="4" width="10.7109375" style="275" bestFit="1" customWidth="1"/>
    <col min="5" max="5" width="19" style="275" customWidth="1"/>
    <col min="6" max="6" width="9.140625" style="275"/>
    <col min="7" max="8" width="10.5703125" style="275" bestFit="1" customWidth="1"/>
    <col min="9" max="16384" width="9.140625" style="275"/>
  </cols>
  <sheetData>
    <row r="1" spans="1:5" x14ac:dyDescent="0.2">
      <c r="A1" s="313" t="s">
        <v>361</v>
      </c>
    </row>
    <row r="2" spans="1:5" x14ac:dyDescent="0.2">
      <c r="A2" s="279" t="s">
        <v>362</v>
      </c>
    </row>
    <row r="3" spans="1:5" ht="49.5" customHeight="1" x14ac:dyDescent="0.2"/>
    <row r="4" spans="1:5" ht="42" customHeight="1" thickBot="1" x14ac:dyDescent="0.25">
      <c r="A4" s="555" t="s">
        <v>359</v>
      </c>
      <c r="B4" s="555"/>
      <c r="C4" s="555"/>
      <c r="D4" s="555"/>
      <c r="E4" s="555"/>
    </row>
    <row r="5" spans="1:5" ht="26.25" customHeight="1" thickBot="1" x14ac:dyDescent="0.25">
      <c r="A5" s="276" t="s">
        <v>0</v>
      </c>
      <c r="B5" s="277"/>
      <c r="C5" s="237" t="s">
        <v>1</v>
      </c>
      <c r="D5" s="237" t="s">
        <v>2</v>
      </c>
      <c r="E5" s="16" t="s">
        <v>363</v>
      </c>
    </row>
    <row r="6" spans="1:5" ht="12.75" customHeight="1" thickBot="1" x14ac:dyDescent="0.25">
      <c r="A6" s="286"/>
      <c r="B6" s="287"/>
      <c r="C6" s="287"/>
      <c r="D6" s="287"/>
      <c r="E6" s="288"/>
    </row>
    <row r="7" spans="1:5" ht="12.75" customHeight="1" x14ac:dyDescent="0.2">
      <c r="A7" s="552" t="s">
        <v>4</v>
      </c>
      <c r="B7" s="4" t="s">
        <v>528</v>
      </c>
      <c r="C7" s="10" t="s">
        <v>3</v>
      </c>
      <c r="D7" s="5">
        <v>1</v>
      </c>
      <c r="E7" s="11">
        <f>'MDO-P1"-EQUIPE APO-UTMB ASA SUL'!E28:F28</f>
        <v>8927.9988169753378</v>
      </c>
    </row>
    <row r="8" spans="1:5" ht="25.5" x14ac:dyDescent="0.2">
      <c r="A8" s="553"/>
      <c r="B8" s="291" t="s">
        <v>529</v>
      </c>
      <c r="C8" s="10" t="s">
        <v>3</v>
      </c>
      <c r="D8" s="5">
        <v>1</v>
      </c>
      <c r="E8" s="11">
        <f>'MDO-P1"-EQUIPE APO-UTMB ASA SUL'!I28</f>
        <v>10318.87974078049</v>
      </c>
    </row>
    <row r="9" spans="1:5" ht="12.75" customHeight="1" x14ac:dyDescent="0.2">
      <c r="A9" s="553"/>
      <c r="B9" s="4" t="s">
        <v>344</v>
      </c>
      <c r="C9" s="10" t="s">
        <v>3</v>
      </c>
      <c r="D9" s="5">
        <v>1</v>
      </c>
      <c r="E9" s="11">
        <f>'MDO-P1"-EQUIPE APO-UTMB ASA SUL'!E44:F44</f>
        <v>6157.0810777069728</v>
      </c>
    </row>
    <row r="10" spans="1:5" x14ac:dyDescent="0.2">
      <c r="A10" s="553"/>
      <c r="B10" s="4" t="s">
        <v>347</v>
      </c>
      <c r="C10" s="10" t="s">
        <v>3</v>
      </c>
      <c r="D10" s="5">
        <v>1</v>
      </c>
      <c r="E10" s="11">
        <f>'MDO-P1"-EQUIPE APO-UTMB ASA SUL'!E60:F60</f>
        <v>8114.567432304776</v>
      </c>
    </row>
    <row r="11" spans="1:5" hidden="1" x14ac:dyDescent="0.2">
      <c r="A11" s="553"/>
      <c r="B11" s="4" t="s">
        <v>204</v>
      </c>
      <c r="C11" s="10" t="s">
        <v>3</v>
      </c>
      <c r="D11" s="5">
        <v>1</v>
      </c>
      <c r="E11" s="11">
        <f>'MDO-P1"-EQUIPE APO-UTMB ASA SUL'!E90</f>
        <v>0</v>
      </c>
    </row>
    <row r="12" spans="1:5" hidden="1" x14ac:dyDescent="0.2">
      <c r="A12" s="553"/>
      <c r="B12" s="4" t="s">
        <v>205</v>
      </c>
      <c r="C12" s="10" t="s">
        <v>3</v>
      </c>
      <c r="D12" s="5">
        <v>1</v>
      </c>
      <c r="E12" s="11">
        <f>'MDO-P1"-EQUIPE APO-UTMB ASA SUL'!I90</f>
        <v>0</v>
      </c>
    </row>
    <row r="13" spans="1:5" hidden="1" x14ac:dyDescent="0.2">
      <c r="A13" s="553"/>
      <c r="B13" s="4" t="s">
        <v>206</v>
      </c>
      <c r="C13" s="10" t="s">
        <v>3</v>
      </c>
      <c r="D13" s="5">
        <v>1</v>
      </c>
      <c r="E13" s="11">
        <f>'MDO-P1"-EQUIPE APO-UTMB ASA SUL'!E105</f>
        <v>0</v>
      </c>
    </row>
    <row r="14" spans="1:5" hidden="1" x14ac:dyDescent="0.2">
      <c r="A14" s="553"/>
      <c r="B14" s="4" t="s">
        <v>207</v>
      </c>
      <c r="C14" s="10" t="s">
        <v>3</v>
      </c>
      <c r="D14" s="5">
        <v>1</v>
      </c>
      <c r="E14" s="11">
        <f>'MDO-P1"-EQUIPE APO-UTMB ASA SUL'!I105</f>
        <v>0</v>
      </c>
    </row>
    <row r="15" spans="1:5" hidden="1" x14ac:dyDescent="0.2">
      <c r="A15" s="553"/>
      <c r="B15" s="4" t="s">
        <v>208</v>
      </c>
      <c r="C15" s="10" t="s">
        <v>3</v>
      </c>
      <c r="D15" s="5">
        <v>1</v>
      </c>
      <c r="E15" s="11">
        <f>'MDO-P1"-EQUIPE APO-UTMB ASA SUL'!E120</f>
        <v>0</v>
      </c>
    </row>
    <row r="16" spans="1:5" hidden="1" x14ac:dyDescent="0.2">
      <c r="A16" s="553"/>
      <c r="B16" s="4" t="s">
        <v>209</v>
      </c>
      <c r="C16" s="10" t="s">
        <v>3</v>
      </c>
      <c r="D16" s="5">
        <v>1</v>
      </c>
      <c r="E16" s="11">
        <f>'MDO-P1"-EQUIPE APO-UTMB ASA SUL'!I120</f>
        <v>0</v>
      </c>
    </row>
    <row r="17" spans="1:5" x14ac:dyDescent="0.2">
      <c r="A17" s="553"/>
      <c r="B17" s="6" t="s">
        <v>333</v>
      </c>
      <c r="C17" s="12" t="s">
        <v>3</v>
      </c>
      <c r="D17" s="7">
        <v>1</v>
      </c>
      <c r="E17" s="13">
        <f>'MDO-P1"-EQUIPE APO-UTMB ASA SUL'!E136:F136</f>
        <v>19746.635528587987</v>
      </c>
    </row>
    <row r="18" spans="1:5" ht="13.5" thickBot="1" x14ac:dyDescent="0.25">
      <c r="A18" s="554"/>
      <c r="B18" s="281" t="s">
        <v>5</v>
      </c>
      <c r="C18" s="282"/>
      <c r="D18" s="283"/>
      <c r="E18" s="284">
        <f>SUM(E7:E17)</f>
        <v>53265.162596355571</v>
      </c>
    </row>
    <row r="19" spans="1:5" ht="13.5" thickBot="1" x14ac:dyDescent="0.25">
      <c r="A19" s="286"/>
      <c r="B19" s="287"/>
      <c r="C19" s="287"/>
      <c r="D19" s="287"/>
      <c r="E19" s="288"/>
    </row>
    <row r="20" spans="1:5" ht="25.5" x14ac:dyDescent="0.2">
      <c r="A20" s="553"/>
      <c r="B20" s="291" t="s">
        <v>340</v>
      </c>
      <c r="C20" s="10" t="s">
        <v>3</v>
      </c>
      <c r="D20" s="5">
        <v>1</v>
      </c>
      <c r="E20" s="11">
        <f>'MDO-P1"-EQUIPE APO-UTMB ASA SUL'!G157</f>
        <v>140</v>
      </c>
    </row>
    <row r="21" spans="1:5" ht="12.75" customHeight="1" x14ac:dyDescent="0.2">
      <c r="A21" s="553"/>
      <c r="B21" s="4" t="s">
        <v>344</v>
      </c>
      <c r="C21" s="10" t="s">
        <v>3</v>
      </c>
      <c r="D21" s="5">
        <v>1</v>
      </c>
      <c r="E21" s="11">
        <f>'MDO-P1"-EQUIPE APO-UTMB ASA SUL'!G174</f>
        <v>67.59</v>
      </c>
    </row>
    <row r="22" spans="1:5" ht="12.75" customHeight="1" x14ac:dyDescent="0.2">
      <c r="A22" s="553"/>
      <c r="B22" s="4" t="s">
        <v>347</v>
      </c>
      <c r="C22" s="10" t="s">
        <v>3</v>
      </c>
      <c r="D22" s="5">
        <v>1</v>
      </c>
      <c r="E22" s="11">
        <f>'MDO-P1"-EQUIPE APO-UTMB ASA SUL'!G191</f>
        <v>67.59</v>
      </c>
    </row>
    <row r="23" spans="1:5" ht="11.25" hidden="1" customHeight="1" x14ac:dyDescent="0.2">
      <c r="A23" s="553"/>
      <c r="B23" s="4" t="s">
        <v>204</v>
      </c>
      <c r="C23" s="10" t="s">
        <v>3</v>
      </c>
      <c r="D23" s="5">
        <v>1</v>
      </c>
      <c r="E23" s="11">
        <f>'MDO-P1"-EQUIPE APO-UTMB ASA SUL'!G257</f>
        <v>0</v>
      </c>
    </row>
    <row r="24" spans="1:5" ht="12.75" hidden="1" customHeight="1" x14ac:dyDescent="0.2">
      <c r="A24" s="553"/>
      <c r="B24" s="4" t="s">
        <v>205</v>
      </c>
      <c r="C24" s="10" t="s">
        <v>3</v>
      </c>
      <c r="D24" s="5">
        <v>1</v>
      </c>
      <c r="E24" s="11">
        <f>'MDO-P1"-EQUIPE APO-UTMB ASA SUL'!G273</f>
        <v>0</v>
      </c>
    </row>
    <row r="25" spans="1:5" ht="12.75" hidden="1" customHeight="1" x14ac:dyDescent="0.2">
      <c r="A25" s="553"/>
      <c r="B25" s="4" t="s">
        <v>206</v>
      </c>
      <c r="C25" s="10" t="s">
        <v>3</v>
      </c>
      <c r="D25" s="5">
        <v>1</v>
      </c>
      <c r="E25" s="11">
        <f>'MDO-P1"-EQUIPE APO-UTMB ASA SUL'!G290</f>
        <v>0</v>
      </c>
    </row>
    <row r="26" spans="1:5" ht="12.75" hidden="1" customHeight="1" x14ac:dyDescent="0.2">
      <c r="A26" s="553"/>
      <c r="B26" s="4" t="s">
        <v>207</v>
      </c>
      <c r="C26" s="10" t="s">
        <v>3</v>
      </c>
      <c r="D26" s="5">
        <v>1</v>
      </c>
      <c r="E26" s="11">
        <f>'MDO-P1"-EQUIPE APO-UTMB ASA SUL'!G306</f>
        <v>0</v>
      </c>
    </row>
    <row r="27" spans="1:5" ht="12.75" hidden="1" customHeight="1" x14ac:dyDescent="0.2">
      <c r="A27" s="553"/>
      <c r="B27" s="4" t="s">
        <v>208</v>
      </c>
      <c r="C27" s="10" t="s">
        <v>3</v>
      </c>
      <c r="D27" s="5">
        <v>1</v>
      </c>
      <c r="E27" s="11">
        <f>'MDO-P1"-EQUIPE APO-UTMB ASA SUL'!G323</f>
        <v>0</v>
      </c>
    </row>
    <row r="28" spans="1:5" ht="12.75" hidden="1" customHeight="1" x14ac:dyDescent="0.2">
      <c r="A28" s="553"/>
      <c r="B28" s="4" t="s">
        <v>209</v>
      </c>
      <c r="C28" s="10" t="s">
        <v>3</v>
      </c>
      <c r="D28" s="5">
        <v>1</v>
      </c>
      <c r="E28" s="11">
        <f>'MDO-P1"-EQUIPE APO-UTMB ASA SUL'!G339</f>
        <v>0</v>
      </c>
    </row>
    <row r="29" spans="1:5" ht="12.75" customHeight="1" x14ac:dyDescent="0.2">
      <c r="A29" s="553"/>
      <c r="B29" s="6" t="s">
        <v>333</v>
      </c>
      <c r="C29" s="12" t="s">
        <v>3</v>
      </c>
      <c r="D29" s="7">
        <v>1</v>
      </c>
      <c r="E29" s="13">
        <f>'MDO-P1"-EQUIPE APO-UTMB ASA SUL'!G356</f>
        <v>67.59</v>
      </c>
    </row>
    <row r="30" spans="1:5" ht="13.5" thickBot="1" x14ac:dyDescent="0.25">
      <c r="A30" s="554"/>
      <c r="B30" s="281" t="s">
        <v>7</v>
      </c>
      <c r="C30" s="282"/>
      <c r="D30" s="283"/>
      <c r="E30" s="284">
        <f>SUM(E20:E29)</f>
        <v>342.77</v>
      </c>
    </row>
    <row r="31" spans="1:5" x14ac:dyDescent="0.2">
      <c r="A31" s="278"/>
      <c r="B31" s="279"/>
      <c r="C31" s="279"/>
      <c r="D31" s="279"/>
      <c r="E31" s="280"/>
    </row>
    <row r="32" spans="1:5" ht="13.5" thickBot="1" x14ac:dyDescent="0.25">
      <c r="A32" s="278"/>
      <c r="B32" s="279"/>
      <c r="C32" s="279"/>
      <c r="D32" s="279"/>
      <c r="E32" s="280"/>
    </row>
    <row r="33" spans="1:5" ht="13.5" thickBot="1" x14ac:dyDescent="0.25">
      <c r="A33" s="276" t="s">
        <v>360</v>
      </c>
      <c r="B33" s="285"/>
      <c r="C33" s="285"/>
      <c r="D33" s="285"/>
      <c r="E33" s="249">
        <f>+E30+E18</f>
        <v>53607.932596355568</v>
      </c>
    </row>
    <row r="36" spans="1:5" x14ac:dyDescent="0.2">
      <c r="A36" s="564"/>
      <c r="B36" s="564"/>
      <c r="C36" s="564"/>
      <c r="D36" s="564"/>
      <c r="E36" s="564"/>
    </row>
    <row r="37" spans="1:5" x14ac:dyDescent="0.2">
      <c r="A37" s="565"/>
      <c r="B37" s="565"/>
      <c r="C37" s="565"/>
      <c r="D37" s="565"/>
      <c r="E37" s="565"/>
    </row>
  </sheetData>
  <sheetProtection password="C7D3" sheet="1" objects="1" scenarios="1"/>
  <mergeCells count="7">
    <mergeCell ref="A37:B37"/>
    <mergeCell ref="C37:E37"/>
    <mergeCell ref="A7:A18"/>
    <mergeCell ref="A20:A30"/>
    <mergeCell ref="A4:E4"/>
    <mergeCell ref="A36:B36"/>
    <mergeCell ref="C36:E36"/>
  </mergeCells>
  <printOptions horizontalCentered="1" verticalCentered="1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65"/>
  <sheetViews>
    <sheetView showGridLines="0" view="pageBreakPreview" zoomScaleNormal="100" zoomScaleSheetLayoutView="100" workbookViewId="0">
      <selection activeCell="I23" activeCellId="37" sqref="I175 F454:G454 D437:D447 D421:D430 D404:D414 D388:D397 D371:D381 D355:D364 D338:D348 D322:D331 D305:D315 D289:D298 D272:D282 D256:D265 D239:D249 D223:D232 D206:D216 D189:D199 D172:D182 F165:G166 E151:F151 I151:J151 I135:J135 E135:F135 E119:F119 I119:J119 I103:J103 E103:F103 E87:F87 I87:J87 E71:F71 I71:J71 E55:F55 I55:J55 E39:F39 I39:J39 E23:F23 I23:J23"/>
    </sheetView>
  </sheetViews>
  <sheetFormatPr defaultRowHeight="12.75" x14ac:dyDescent="0.2"/>
  <cols>
    <col min="1" max="4" width="9.140625" style="238"/>
    <col min="5" max="5" width="10.85546875" style="238" customWidth="1"/>
    <col min="6" max="6" width="9.140625" style="238"/>
    <col min="7" max="7" width="4.140625" style="238" customWidth="1"/>
    <col min="8" max="8" width="40.140625" style="238" bestFit="1" customWidth="1"/>
    <col min="9" max="9" width="10.28515625" style="238" bestFit="1" customWidth="1"/>
    <col min="10" max="11" width="9.140625" style="238"/>
    <col min="12" max="12" width="10.140625" style="238" bestFit="1" customWidth="1"/>
    <col min="13" max="16384" width="9.140625" style="238"/>
  </cols>
  <sheetData>
    <row r="1" spans="1:16" x14ac:dyDescent="0.2">
      <c r="A1" s="313" t="s">
        <v>361</v>
      </c>
    </row>
    <row r="2" spans="1:16" x14ac:dyDescent="0.2">
      <c r="A2" s="279" t="s">
        <v>362</v>
      </c>
    </row>
    <row r="3" spans="1:16" ht="63.75" customHeight="1" x14ac:dyDescent="0.2"/>
    <row r="4" spans="1:16" ht="15" x14ac:dyDescent="0.2">
      <c r="A4" s="612" t="s">
        <v>211</v>
      </c>
      <c r="B4" s="612"/>
      <c r="C4" s="612"/>
      <c r="D4" s="612"/>
      <c r="E4" s="612"/>
      <c r="F4" s="612"/>
      <c r="G4" s="612"/>
      <c r="H4" s="612"/>
      <c r="I4" s="612"/>
      <c r="J4" s="612"/>
    </row>
    <row r="5" spans="1:16" x14ac:dyDescent="0.2">
      <c r="A5" s="613" t="s">
        <v>212</v>
      </c>
      <c r="B5" s="613"/>
      <c r="C5" s="614" t="s">
        <v>354</v>
      </c>
      <c r="D5" s="614"/>
      <c r="E5" s="614"/>
      <c r="F5" s="614"/>
      <c r="G5" s="614"/>
      <c r="H5" s="614"/>
      <c r="I5" s="614"/>
      <c r="J5" s="614"/>
    </row>
    <row r="6" spans="1:16" x14ac:dyDescent="0.2">
      <c r="A6" s="613"/>
      <c r="B6" s="613"/>
      <c r="C6" s="614"/>
      <c r="D6" s="614"/>
      <c r="E6" s="614"/>
      <c r="F6" s="614"/>
      <c r="G6" s="614"/>
      <c r="H6" s="614"/>
      <c r="I6" s="614"/>
      <c r="J6" s="614"/>
    </row>
    <row r="7" spans="1:16" x14ac:dyDescent="0.2">
      <c r="A7" s="615" t="s">
        <v>214</v>
      </c>
      <c r="B7" s="615"/>
      <c r="C7" s="615" t="s">
        <v>215</v>
      </c>
      <c r="D7" s="615"/>
      <c r="E7" s="615"/>
      <c r="F7" s="615"/>
      <c r="G7" s="615"/>
      <c r="H7" s="615"/>
      <c r="I7" s="615"/>
      <c r="J7" s="615"/>
    </row>
    <row r="8" spans="1:16" x14ac:dyDescent="0.2">
      <c r="A8" s="251"/>
      <c r="B8" s="251"/>
      <c r="C8" s="251"/>
      <c r="D8" s="251"/>
      <c r="E8" s="251"/>
      <c r="F8" s="251"/>
      <c r="G8" s="251"/>
      <c r="H8" s="251"/>
      <c r="I8" s="609">
        <f ca="1">NOW()</f>
        <v>43551.670944791666</v>
      </c>
      <c r="J8" s="609"/>
    </row>
    <row r="9" spans="1:16" x14ac:dyDescent="0.2">
      <c r="H9" s="257" t="s">
        <v>31</v>
      </c>
      <c r="I9" s="610">
        <f>Enc.Sociais!I50</f>
        <v>0.72811369776000012</v>
      </c>
      <c r="J9" s="611"/>
    </row>
    <row r="10" spans="1:16" x14ac:dyDescent="0.2">
      <c r="H10" s="314" t="s">
        <v>364</v>
      </c>
      <c r="I10" s="570">
        <v>998</v>
      </c>
      <c r="J10" s="571"/>
    </row>
    <row r="11" spans="1:16" s="239" customFormat="1" x14ac:dyDescent="0.2">
      <c r="A11" s="572" t="s">
        <v>216</v>
      </c>
      <c r="B11" s="572"/>
      <c r="C11" s="572"/>
      <c r="D11" s="572"/>
      <c r="E11" s="572"/>
      <c r="F11" s="572"/>
      <c r="G11" s="572"/>
      <c r="H11" s="572"/>
      <c r="I11" s="572"/>
      <c r="J11" s="572"/>
    </row>
    <row r="12" spans="1:16" s="245" customFormat="1" ht="13.5" thickBot="1" x14ac:dyDescent="0.25">
      <c r="A12" s="630" t="s">
        <v>232</v>
      </c>
      <c r="B12" s="631"/>
      <c r="C12" s="631"/>
      <c r="D12" s="631"/>
      <c r="E12" s="616" t="s">
        <v>217</v>
      </c>
      <c r="F12" s="617"/>
      <c r="H12" s="618" t="s">
        <v>237</v>
      </c>
      <c r="I12" s="619"/>
      <c r="J12" s="619"/>
    </row>
    <row r="13" spans="1:16" s="245" customFormat="1" x14ac:dyDescent="0.2">
      <c r="A13" s="620" t="s">
        <v>218</v>
      </c>
      <c r="B13" s="621"/>
      <c r="C13" s="621"/>
      <c r="D13" s="621"/>
      <c r="E13" s="622">
        <v>1822.62</v>
      </c>
      <c r="F13" s="623"/>
      <c r="H13" s="258" t="s">
        <v>218</v>
      </c>
      <c r="I13" s="624">
        <f>2431.67/1.7343</f>
        <v>1402.1045955140403</v>
      </c>
      <c r="J13" s="625"/>
      <c r="L13" s="259" t="e">
        <f>#REF!</f>
        <v>#REF!</v>
      </c>
      <c r="M13" s="259" t="e">
        <f>#REF!</f>
        <v>#REF!</v>
      </c>
      <c r="P13" s="245">
        <f>2142.06*1.1</f>
        <v>2356.2660000000001</v>
      </c>
    </row>
    <row r="14" spans="1:16" s="245" customFormat="1" x14ac:dyDescent="0.2">
      <c r="A14" s="626" t="s">
        <v>233</v>
      </c>
      <c r="B14" s="627"/>
      <c r="C14" s="627"/>
      <c r="D14" s="627"/>
      <c r="E14" s="628">
        <f>I10*0.2</f>
        <v>199.60000000000002</v>
      </c>
      <c r="F14" s="629"/>
      <c r="H14" s="260" t="s">
        <v>258</v>
      </c>
      <c r="I14" s="590">
        <f>0.2*I10</f>
        <v>199.60000000000002</v>
      </c>
      <c r="J14" s="591"/>
    </row>
    <row r="15" spans="1:16" s="245" customFormat="1" x14ac:dyDescent="0.2">
      <c r="A15" s="634" t="s">
        <v>230</v>
      </c>
      <c r="B15" s="635"/>
      <c r="C15" s="635"/>
      <c r="D15" s="635"/>
      <c r="E15" s="590">
        <f>8*E13/220*2</f>
        <v>132.5541818181818</v>
      </c>
      <c r="F15" s="591"/>
      <c r="H15" s="241" t="s">
        <v>230</v>
      </c>
      <c r="I15" s="590">
        <f>8*I13/220*2</f>
        <v>101.97124331011202</v>
      </c>
      <c r="J15" s="591"/>
    </row>
    <row r="16" spans="1:16" s="245" customFormat="1" x14ac:dyDescent="0.2">
      <c r="A16" s="634" t="s">
        <v>220</v>
      </c>
      <c r="B16" s="635"/>
      <c r="C16" s="635"/>
      <c r="D16" s="635"/>
      <c r="E16" s="590">
        <f>E13*0.1</f>
        <v>182.262</v>
      </c>
      <c r="F16" s="591"/>
      <c r="H16" s="241" t="s">
        <v>220</v>
      </c>
      <c r="I16" s="590">
        <f>I13*0.1</f>
        <v>140.21045955140403</v>
      </c>
      <c r="J16" s="591"/>
    </row>
    <row r="17" spans="1:17" s="245" customFormat="1" x14ac:dyDescent="0.2">
      <c r="A17" s="262" t="s">
        <v>17</v>
      </c>
      <c r="B17" s="261"/>
      <c r="C17" s="261"/>
      <c r="D17" s="261"/>
      <c r="E17" s="632">
        <f>SUM(E13:F16)</f>
        <v>2337.0361818181818</v>
      </c>
      <c r="F17" s="633"/>
      <c r="H17" s="262" t="s">
        <v>17</v>
      </c>
      <c r="I17" s="632">
        <f>SUM(I13:J16)</f>
        <v>1843.8862983755562</v>
      </c>
      <c r="J17" s="633"/>
    </row>
    <row r="18" spans="1:17" s="245" customFormat="1" x14ac:dyDescent="0.2">
      <c r="A18" s="634" t="s">
        <v>221</v>
      </c>
      <c r="B18" s="635"/>
      <c r="C18" s="635"/>
      <c r="D18" s="635"/>
      <c r="E18" s="590">
        <f>E17*$I$9</f>
        <v>1701.6280561425483</v>
      </c>
      <c r="F18" s="591"/>
      <c r="H18" s="241" t="s">
        <v>221</v>
      </c>
      <c r="I18" s="590">
        <f>I17*$I$9</f>
        <v>1342.558870959225</v>
      </c>
      <c r="J18" s="591"/>
    </row>
    <row r="19" spans="1:17" s="245" customFormat="1" x14ac:dyDescent="0.2">
      <c r="A19" s="634" t="s">
        <v>222</v>
      </c>
      <c r="B19" s="635"/>
      <c r="C19" s="635"/>
      <c r="D19" s="635"/>
      <c r="E19" s="590">
        <f>78*5</f>
        <v>390</v>
      </c>
      <c r="F19" s="591"/>
      <c r="H19" s="241" t="s">
        <v>222</v>
      </c>
      <c r="I19" s="590">
        <f>E19</f>
        <v>390</v>
      </c>
      <c r="J19" s="591"/>
    </row>
    <row r="20" spans="1:17" s="245" customFormat="1" x14ac:dyDescent="0.2">
      <c r="A20" s="634" t="s">
        <v>289</v>
      </c>
      <c r="B20" s="635"/>
      <c r="C20" s="635"/>
      <c r="D20" s="635"/>
      <c r="E20" s="590">
        <v>40.58</v>
      </c>
      <c r="F20" s="591"/>
      <c r="H20" s="241" t="s">
        <v>288</v>
      </c>
      <c r="I20" s="590">
        <v>40.58</v>
      </c>
      <c r="J20" s="591"/>
    </row>
    <row r="21" spans="1:17" s="245" customFormat="1" x14ac:dyDescent="0.2">
      <c r="A21" s="241" t="s">
        <v>509</v>
      </c>
      <c r="B21" s="261"/>
      <c r="C21" s="261"/>
      <c r="D21" s="261"/>
      <c r="E21" s="590">
        <f>130+10</f>
        <v>140</v>
      </c>
      <c r="F21" s="591"/>
      <c r="H21" s="241" t="s">
        <v>509</v>
      </c>
      <c r="I21" s="590">
        <f>130+10</f>
        <v>140</v>
      </c>
      <c r="J21" s="591"/>
    </row>
    <row r="22" spans="1:17" s="245" customFormat="1" x14ac:dyDescent="0.2">
      <c r="A22" s="634" t="s">
        <v>229</v>
      </c>
      <c r="B22" s="635"/>
      <c r="C22" s="635"/>
      <c r="D22" s="635"/>
      <c r="E22" s="590">
        <f>+(760*13)/12</f>
        <v>823.33333333333337</v>
      </c>
      <c r="F22" s="591"/>
      <c r="H22" s="241" t="s">
        <v>229</v>
      </c>
      <c r="I22" s="590">
        <f>E22</f>
        <v>823.33333333333337</v>
      </c>
      <c r="J22" s="591"/>
      <c r="Q22" s="245">
        <f>+I28*0.15</f>
        <v>174.83999308078188</v>
      </c>
    </row>
    <row r="23" spans="1:17" s="245" customFormat="1" x14ac:dyDescent="0.2">
      <c r="A23" s="634" t="s">
        <v>29</v>
      </c>
      <c r="B23" s="635"/>
      <c r="C23" s="635"/>
      <c r="D23" s="635"/>
      <c r="E23" s="959">
        <f>SUM(E13*0.7/12)</f>
        <v>106.31949999999999</v>
      </c>
      <c r="F23" s="960"/>
      <c r="H23" s="241" t="s">
        <v>29</v>
      </c>
      <c r="I23" s="959">
        <f>SUM(I13*0.7/12)</f>
        <v>81.789434738319002</v>
      </c>
      <c r="J23" s="960"/>
    </row>
    <row r="24" spans="1:17" s="245" customFormat="1" ht="13.5" thickBot="1" x14ac:dyDescent="0.25">
      <c r="A24" s="647" t="s">
        <v>223</v>
      </c>
      <c r="B24" s="648"/>
      <c r="C24" s="648"/>
      <c r="D24" s="648"/>
      <c r="E24" s="632">
        <f>SUM(E17:F23)</f>
        <v>5538.8970712940627</v>
      </c>
      <c r="F24" s="633"/>
      <c r="H24" s="263" t="s">
        <v>223</v>
      </c>
      <c r="I24" s="592">
        <f>SUM(I17:J23)</f>
        <v>4662.1479374064329</v>
      </c>
      <c r="J24" s="593"/>
    </row>
    <row r="25" spans="1:17" s="245" customFormat="1" ht="13.5" thickBot="1" x14ac:dyDescent="0.25">
      <c r="A25" s="636" t="s">
        <v>392</v>
      </c>
      <c r="B25" s="637"/>
      <c r="C25" s="637"/>
      <c r="D25" s="637"/>
      <c r="E25" s="638">
        <f>SUM(E24*'Lote 01 - P1-UTMB ASA SUL '!E256)</f>
        <v>11077.794142588125</v>
      </c>
      <c r="F25" s="639"/>
      <c r="H25" s="264" t="s">
        <v>393</v>
      </c>
      <c r="I25" s="638">
        <f>SUM(I24*'Lote 01 - P1-UTMB ASA SUL '!E257)</f>
        <v>9324.2958748128658</v>
      </c>
      <c r="J25" s="639"/>
    </row>
    <row r="26" spans="1:17" s="245" customFormat="1" ht="13.5" thickBot="1" x14ac:dyDescent="0.25">
      <c r="A26" s="640" t="s">
        <v>26</v>
      </c>
      <c r="B26" s="641"/>
      <c r="C26" s="641"/>
      <c r="D26" s="641"/>
      <c r="E26" s="641"/>
      <c r="F26" s="641"/>
      <c r="G26" s="641"/>
      <c r="H26" s="641"/>
      <c r="I26" s="642">
        <f>SUM(E25+I25)</f>
        <v>20402.090017400991</v>
      </c>
      <c r="J26" s="643"/>
    </row>
    <row r="27" spans="1:17" s="245" customFormat="1" ht="13.5" thickBot="1" x14ac:dyDescent="0.25">
      <c r="A27" s="644" t="s">
        <v>238</v>
      </c>
      <c r="B27" s="645"/>
      <c r="C27" s="645"/>
      <c r="D27" s="645"/>
      <c r="E27" s="645"/>
      <c r="F27" s="646"/>
      <c r="H27" s="644" t="s">
        <v>239</v>
      </c>
      <c r="I27" s="645"/>
      <c r="J27" s="646"/>
    </row>
    <row r="28" spans="1:17" s="245" customFormat="1" x14ac:dyDescent="0.2">
      <c r="A28" s="620" t="s">
        <v>218</v>
      </c>
      <c r="B28" s="621"/>
      <c r="C28" s="621"/>
      <c r="D28" s="621"/>
      <c r="E28" s="649">
        <f>2021.5/1.7343</f>
        <v>1165.5999538718793</v>
      </c>
      <c r="F28" s="650"/>
      <c r="H28" s="265" t="s">
        <v>218</v>
      </c>
      <c r="I28" s="649">
        <f>E28</f>
        <v>1165.5999538718793</v>
      </c>
      <c r="J28" s="650"/>
      <c r="L28" s="259" t="e">
        <f>#REF!</f>
        <v>#REF!</v>
      </c>
    </row>
    <row r="29" spans="1:17" s="245" customFormat="1" x14ac:dyDescent="0.2">
      <c r="A29" s="626" t="s">
        <v>242</v>
      </c>
      <c r="B29" s="627"/>
      <c r="C29" s="627"/>
      <c r="D29" s="627"/>
      <c r="E29" s="590">
        <f>I10*0.4</f>
        <v>399.20000000000005</v>
      </c>
      <c r="F29" s="591"/>
      <c r="H29" s="260" t="s">
        <v>242</v>
      </c>
      <c r="I29" s="590">
        <f>I10*0.4</f>
        <v>399.20000000000005</v>
      </c>
      <c r="J29" s="591"/>
    </row>
    <row r="30" spans="1:17" s="245" customFormat="1" x14ac:dyDescent="0.2">
      <c r="A30" s="634" t="s">
        <v>230</v>
      </c>
      <c r="B30" s="635"/>
      <c r="C30" s="635"/>
      <c r="D30" s="635"/>
      <c r="E30" s="590">
        <f>8*E28/220*2</f>
        <v>84.770905736136669</v>
      </c>
      <c r="F30" s="591"/>
      <c r="H30" s="241" t="s">
        <v>230</v>
      </c>
      <c r="I30" s="590">
        <f>8*I28/220*2</f>
        <v>84.770905736136669</v>
      </c>
      <c r="J30" s="591"/>
    </row>
    <row r="31" spans="1:17" s="245" customFormat="1" x14ac:dyDescent="0.2">
      <c r="A31" s="626" t="s">
        <v>220</v>
      </c>
      <c r="B31" s="627"/>
      <c r="C31" s="627"/>
      <c r="D31" s="627"/>
      <c r="E31" s="628" t="s">
        <v>365</v>
      </c>
      <c r="F31" s="629"/>
      <c r="G31" s="266"/>
      <c r="H31" s="260" t="s">
        <v>220</v>
      </c>
      <c r="I31" s="628" t="s">
        <v>365</v>
      </c>
      <c r="J31" s="629"/>
    </row>
    <row r="32" spans="1:17" s="245" customFormat="1" x14ac:dyDescent="0.2">
      <c r="A32" s="626" t="s">
        <v>225</v>
      </c>
      <c r="B32" s="627"/>
      <c r="C32" s="627"/>
      <c r="D32" s="627"/>
      <c r="E32" s="628" t="s">
        <v>365</v>
      </c>
      <c r="F32" s="629"/>
      <c r="H32" s="260" t="s">
        <v>225</v>
      </c>
      <c r="I32" s="628">
        <f>SUM(I28*20/100)</f>
        <v>233.11999077437585</v>
      </c>
      <c r="J32" s="629"/>
    </row>
    <row r="33" spans="1:15" s="245" customFormat="1" x14ac:dyDescent="0.2">
      <c r="A33" s="651" t="s">
        <v>17</v>
      </c>
      <c r="B33" s="652"/>
      <c r="C33" s="652"/>
      <c r="D33" s="652"/>
      <c r="E33" s="653">
        <f>SUM(E28:F32)</f>
        <v>1649.570859608016</v>
      </c>
      <c r="F33" s="654"/>
      <c r="H33" s="267" t="s">
        <v>17</v>
      </c>
      <c r="I33" s="653">
        <f>SUM(I28:J32)</f>
        <v>1882.6908503823918</v>
      </c>
      <c r="J33" s="654"/>
    </row>
    <row r="34" spans="1:15" s="245" customFormat="1" x14ac:dyDescent="0.2">
      <c r="A34" s="626" t="s">
        <v>221</v>
      </c>
      <c r="B34" s="627"/>
      <c r="C34" s="627"/>
      <c r="D34" s="627"/>
      <c r="E34" s="590">
        <f>E33*$I$9</f>
        <v>1201.0751383063346</v>
      </c>
      <c r="F34" s="591"/>
      <c r="H34" s="260" t="s">
        <v>221</v>
      </c>
      <c r="I34" s="590">
        <f>I33*$I$9</f>
        <v>1370.8129968108424</v>
      </c>
      <c r="J34" s="591"/>
    </row>
    <row r="35" spans="1:15" s="245" customFormat="1" x14ac:dyDescent="0.2">
      <c r="A35" s="634" t="s">
        <v>222</v>
      </c>
      <c r="B35" s="635"/>
      <c r="C35" s="635"/>
      <c r="D35" s="635"/>
      <c r="E35" s="590">
        <f>E19</f>
        <v>390</v>
      </c>
      <c r="F35" s="591"/>
      <c r="H35" s="241" t="s">
        <v>222</v>
      </c>
      <c r="I35" s="590">
        <f>E19</f>
        <v>390</v>
      </c>
      <c r="J35" s="591"/>
    </row>
    <row r="36" spans="1:15" s="245" customFormat="1" x14ac:dyDescent="0.2">
      <c r="A36" s="634" t="s">
        <v>289</v>
      </c>
      <c r="B36" s="635"/>
      <c r="C36" s="635"/>
      <c r="D36" s="635"/>
      <c r="E36" s="590">
        <v>40.58</v>
      </c>
      <c r="F36" s="591"/>
      <c r="H36" s="241" t="s">
        <v>289</v>
      </c>
      <c r="I36" s="590">
        <v>40.58</v>
      </c>
      <c r="J36" s="591"/>
    </row>
    <row r="37" spans="1:15" s="245" customFormat="1" x14ac:dyDescent="0.2">
      <c r="A37" s="241" t="s">
        <v>509</v>
      </c>
      <c r="B37" s="261"/>
      <c r="C37" s="261"/>
      <c r="D37" s="261"/>
      <c r="E37" s="590">
        <f>130+10</f>
        <v>140</v>
      </c>
      <c r="F37" s="591"/>
      <c r="H37" s="241" t="s">
        <v>509</v>
      </c>
      <c r="I37" s="590">
        <f>130+10</f>
        <v>140</v>
      </c>
      <c r="J37" s="591"/>
    </row>
    <row r="38" spans="1:15" s="245" customFormat="1" x14ac:dyDescent="0.2">
      <c r="A38" s="634" t="s">
        <v>229</v>
      </c>
      <c r="B38" s="635"/>
      <c r="C38" s="635"/>
      <c r="D38" s="635"/>
      <c r="E38" s="590">
        <f>E22</f>
        <v>823.33333333333337</v>
      </c>
      <c r="F38" s="591"/>
      <c r="H38" s="241" t="s">
        <v>229</v>
      </c>
      <c r="I38" s="590">
        <f>E38</f>
        <v>823.33333333333337</v>
      </c>
      <c r="J38" s="591"/>
    </row>
    <row r="39" spans="1:15" s="245" customFormat="1" x14ac:dyDescent="0.2">
      <c r="A39" s="634" t="s">
        <v>29</v>
      </c>
      <c r="B39" s="635"/>
      <c r="C39" s="635"/>
      <c r="D39" s="635"/>
      <c r="E39" s="959">
        <f>SUM(E28*0.7/12)</f>
        <v>67.993330642526288</v>
      </c>
      <c r="F39" s="960"/>
      <c r="H39" s="241" t="s">
        <v>29</v>
      </c>
      <c r="I39" s="959">
        <f>SUM(I28*0.7/12)</f>
        <v>67.993330642526288</v>
      </c>
      <c r="J39" s="960"/>
      <c r="O39" s="245">
        <f>1156.02*1.1</f>
        <v>1271.6220000000001</v>
      </c>
    </row>
    <row r="40" spans="1:15" s="245" customFormat="1" ht="13.5" thickBot="1" x14ac:dyDescent="0.25">
      <c r="A40" s="647" t="s">
        <v>223</v>
      </c>
      <c r="B40" s="648"/>
      <c r="C40" s="648"/>
      <c r="D40" s="648"/>
      <c r="E40" s="632">
        <f>SUM(E33:F39)</f>
        <v>4312.5526618902104</v>
      </c>
      <c r="F40" s="633"/>
      <c r="H40" s="263" t="s">
        <v>223</v>
      </c>
      <c r="I40" s="592">
        <f>SUM(I33:J39)</f>
        <v>4715.4105111690933</v>
      </c>
      <c r="J40" s="593"/>
    </row>
    <row r="41" spans="1:15" s="245" customFormat="1" ht="13.5" thickBot="1" x14ac:dyDescent="0.25">
      <c r="A41" s="636" t="s">
        <v>523</v>
      </c>
      <c r="B41" s="637"/>
      <c r="C41" s="637"/>
      <c r="D41" s="637"/>
      <c r="E41" s="655">
        <f>SUM(E40*'Lote 01 - P1-UTMB ASA SUL '!E259)</f>
        <v>51750.631942682521</v>
      </c>
      <c r="F41" s="656"/>
      <c r="H41" s="264" t="s">
        <v>524</v>
      </c>
      <c r="I41" s="655">
        <f>SUM(I40*'Lote 01 - P1-UTMB ASA SUL '!E260)</f>
        <v>18861.642044676373</v>
      </c>
      <c r="J41" s="656"/>
    </row>
    <row r="42" spans="1:15" s="245" customFormat="1" ht="13.5" thickBot="1" x14ac:dyDescent="0.25">
      <c r="A42" s="657" t="s">
        <v>259</v>
      </c>
      <c r="B42" s="658"/>
      <c r="C42" s="658"/>
      <c r="D42" s="658"/>
      <c r="E42" s="658"/>
      <c r="F42" s="658"/>
      <c r="G42" s="658"/>
      <c r="H42" s="658"/>
      <c r="I42" s="659">
        <f>SUM(E41+I41)</f>
        <v>70612.273987358902</v>
      </c>
      <c r="J42" s="660"/>
    </row>
    <row r="43" spans="1:15" s="245" customFormat="1" ht="14.25" thickTop="1" thickBot="1" x14ac:dyDescent="0.25">
      <c r="A43" s="573" t="s">
        <v>240</v>
      </c>
      <c r="B43" s="574"/>
      <c r="C43" s="574"/>
      <c r="D43" s="574"/>
      <c r="E43" s="574"/>
      <c r="F43" s="575"/>
      <c r="H43" s="618" t="s">
        <v>241</v>
      </c>
      <c r="I43" s="619"/>
      <c r="J43" s="619"/>
    </row>
    <row r="44" spans="1:15" s="245" customFormat="1" x14ac:dyDescent="0.2">
      <c r="A44" s="661" t="s">
        <v>218</v>
      </c>
      <c r="B44" s="662"/>
      <c r="C44" s="662"/>
      <c r="D44" s="662"/>
      <c r="E44" s="649">
        <f>2811.99/1.7343</f>
        <v>1621.3976820619268</v>
      </c>
      <c r="F44" s="650"/>
      <c r="H44" s="265" t="s">
        <v>218</v>
      </c>
      <c r="I44" s="649">
        <f>E44</f>
        <v>1621.3976820619268</v>
      </c>
      <c r="J44" s="650"/>
      <c r="L44" s="259" t="e">
        <f>#REF!</f>
        <v>#REF!</v>
      </c>
    </row>
    <row r="45" spans="1:15" s="245" customFormat="1" x14ac:dyDescent="0.2">
      <c r="A45" s="626" t="s">
        <v>258</v>
      </c>
      <c r="B45" s="627"/>
      <c r="C45" s="627"/>
      <c r="D45" s="627"/>
      <c r="E45" s="590">
        <f>I10*0.2</f>
        <v>199.60000000000002</v>
      </c>
      <c r="F45" s="591"/>
      <c r="H45" s="260" t="s">
        <v>258</v>
      </c>
      <c r="I45" s="590">
        <f>I10*0.2</f>
        <v>199.60000000000002</v>
      </c>
      <c r="J45" s="591"/>
    </row>
    <row r="46" spans="1:15" s="245" customFormat="1" x14ac:dyDescent="0.2">
      <c r="A46" s="634" t="s">
        <v>230</v>
      </c>
      <c r="B46" s="635"/>
      <c r="C46" s="635"/>
      <c r="D46" s="635"/>
      <c r="E46" s="590">
        <f>8*E44/220*2</f>
        <v>117.91983142268559</v>
      </c>
      <c r="F46" s="591"/>
      <c r="H46" s="241" t="s">
        <v>230</v>
      </c>
      <c r="I46" s="590">
        <f>8*I44/220*2</f>
        <v>117.91983142268559</v>
      </c>
      <c r="J46" s="591"/>
    </row>
    <row r="47" spans="1:15" s="245" customFormat="1" x14ac:dyDescent="0.2">
      <c r="A47" s="626" t="s">
        <v>220</v>
      </c>
      <c r="B47" s="627"/>
      <c r="C47" s="627"/>
      <c r="D47" s="627"/>
      <c r="E47" s="628" t="s">
        <v>365</v>
      </c>
      <c r="F47" s="629"/>
      <c r="G47" s="266"/>
      <c r="H47" s="260" t="s">
        <v>220</v>
      </c>
      <c r="I47" s="628" t="s">
        <v>365</v>
      </c>
      <c r="J47" s="629"/>
    </row>
    <row r="48" spans="1:15" s="245" customFormat="1" x14ac:dyDescent="0.2">
      <c r="A48" s="626" t="s">
        <v>225</v>
      </c>
      <c r="B48" s="627"/>
      <c r="C48" s="627"/>
      <c r="D48" s="627"/>
      <c r="E48" s="628" t="s">
        <v>365</v>
      </c>
      <c r="F48" s="629"/>
      <c r="H48" s="260" t="s">
        <v>225</v>
      </c>
      <c r="I48" s="628">
        <f>SUM(I44*20/100)</f>
        <v>324.27953641238537</v>
      </c>
      <c r="J48" s="629"/>
    </row>
    <row r="49" spans="1:13" s="245" customFormat="1" x14ac:dyDescent="0.2">
      <c r="A49" s="651" t="s">
        <v>17</v>
      </c>
      <c r="B49" s="652"/>
      <c r="C49" s="652"/>
      <c r="D49" s="652"/>
      <c r="E49" s="653">
        <f>SUM(E44:F48)</f>
        <v>1938.9175134846123</v>
      </c>
      <c r="F49" s="654"/>
      <c r="H49" s="267" t="s">
        <v>17</v>
      </c>
      <c r="I49" s="653">
        <f>SUM(I44:J48)</f>
        <v>2263.1970498969977</v>
      </c>
      <c r="J49" s="654"/>
    </row>
    <row r="50" spans="1:13" s="245" customFormat="1" x14ac:dyDescent="0.2">
      <c r="A50" s="626" t="s">
        <v>221</v>
      </c>
      <c r="B50" s="627"/>
      <c r="C50" s="627"/>
      <c r="D50" s="627"/>
      <c r="E50" s="590">
        <f>E49*$I$9</f>
        <v>1411.7524003949059</v>
      </c>
      <c r="F50" s="591"/>
      <c r="H50" s="260" t="s">
        <v>221</v>
      </c>
      <c r="I50" s="590">
        <f>I49*$I$9</f>
        <v>1647.8647727600264</v>
      </c>
      <c r="J50" s="591"/>
    </row>
    <row r="51" spans="1:13" s="245" customFormat="1" x14ac:dyDescent="0.2">
      <c r="A51" s="634" t="s">
        <v>510</v>
      </c>
      <c r="B51" s="635"/>
      <c r="C51" s="635"/>
      <c r="D51" s="635"/>
      <c r="E51" s="590">
        <f>E19</f>
        <v>390</v>
      </c>
      <c r="F51" s="591"/>
      <c r="H51" s="241" t="s">
        <v>510</v>
      </c>
      <c r="I51" s="590">
        <f>E19</f>
        <v>390</v>
      </c>
      <c r="J51" s="591"/>
    </row>
    <row r="52" spans="1:13" s="245" customFormat="1" x14ac:dyDescent="0.2">
      <c r="A52" s="634" t="s">
        <v>289</v>
      </c>
      <c r="B52" s="635"/>
      <c r="C52" s="635"/>
      <c r="D52" s="635"/>
      <c r="E52" s="590">
        <v>40.58</v>
      </c>
      <c r="F52" s="591"/>
      <c r="H52" s="241" t="s">
        <v>289</v>
      </c>
      <c r="I52" s="590">
        <v>40.58</v>
      </c>
      <c r="J52" s="591"/>
      <c r="M52" s="245">
        <f>1598.3*1.1</f>
        <v>1758.13</v>
      </c>
    </row>
    <row r="53" spans="1:13" s="245" customFormat="1" x14ac:dyDescent="0.2">
      <c r="A53" s="241" t="s">
        <v>498</v>
      </c>
      <c r="B53" s="261"/>
      <c r="C53" s="261"/>
      <c r="D53" s="261"/>
      <c r="E53" s="590">
        <f>130+10</f>
        <v>140</v>
      </c>
      <c r="F53" s="591"/>
      <c r="H53" s="241" t="s">
        <v>498</v>
      </c>
      <c r="I53" s="590">
        <f>130+10</f>
        <v>140</v>
      </c>
      <c r="J53" s="591"/>
    </row>
    <row r="54" spans="1:13" s="245" customFormat="1" x14ac:dyDescent="0.2">
      <c r="A54" s="634" t="s">
        <v>229</v>
      </c>
      <c r="B54" s="635"/>
      <c r="C54" s="635"/>
      <c r="D54" s="635"/>
      <c r="E54" s="590">
        <f>E38</f>
        <v>823.33333333333337</v>
      </c>
      <c r="F54" s="591"/>
      <c r="H54" s="241" t="s">
        <v>229</v>
      </c>
      <c r="I54" s="590">
        <f>E54</f>
        <v>823.33333333333337</v>
      </c>
      <c r="J54" s="591"/>
    </row>
    <row r="55" spans="1:13" s="245" customFormat="1" x14ac:dyDescent="0.2">
      <c r="A55" s="634" t="s">
        <v>29</v>
      </c>
      <c r="B55" s="635"/>
      <c r="C55" s="635"/>
      <c r="D55" s="635"/>
      <c r="E55" s="959">
        <f>SUM(E44*0.7/12)</f>
        <v>94.581531453612399</v>
      </c>
      <c r="F55" s="960"/>
      <c r="H55" s="241" t="s">
        <v>29</v>
      </c>
      <c r="I55" s="959">
        <f>SUM(I44*0.7/12)</f>
        <v>94.581531453612399</v>
      </c>
      <c r="J55" s="960"/>
    </row>
    <row r="56" spans="1:13" s="245" customFormat="1" ht="13.5" thickBot="1" x14ac:dyDescent="0.25">
      <c r="A56" s="647" t="s">
        <v>223</v>
      </c>
      <c r="B56" s="648"/>
      <c r="C56" s="648"/>
      <c r="D56" s="648"/>
      <c r="E56" s="632">
        <f>SUM(E49:F55)</f>
        <v>4839.1647786664635</v>
      </c>
      <c r="F56" s="633"/>
      <c r="H56" s="263" t="s">
        <v>223</v>
      </c>
      <c r="I56" s="592">
        <f>SUM(I49:J55)</f>
        <v>5399.5566874439692</v>
      </c>
      <c r="J56" s="593"/>
    </row>
    <row r="57" spans="1:13" s="245" customFormat="1" ht="13.5" thickBot="1" x14ac:dyDescent="0.25">
      <c r="A57" s="636" t="s">
        <v>394</v>
      </c>
      <c r="B57" s="637"/>
      <c r="C57" s="637"/>
      <c r="D57" s="637"/>
      <c r="E57" s="655">
        <f>SUM(E56*'Lote 01 - P1-UTMB ASA SUL '!E261)</f>
        <v>9678.3295573329269</v>
      </c>
      <c r="F57" s="656"/>
      <c r="H57" s="264" t="s">
        <v>395</v>
      </c>
      <c r="I57" s="655">
        <f>SUM(I56*'Lote 01 - P1-UTMB ASA SUL '!E262)</f>
        <v>5399.5566874439692</v>
      </c>
      <c r="J57" s="656"/>
    </row>
    <row r="58" spans="1:13" s="315" customFormat="1" ht="13.5" thickBot="1" x14ac:dyDescent="0.25">
      <c r="A58" s="663" t="s">
        <v>262</v>
      </c>
      <c r="B58" s="664"/>
      <c r="C58" s="664"/>
      <c r="D58" s="664"/>
      <c r="E58" s="664"/>
      <c r="F58" s="664"/>
      <c r="G58" s="664"/>
      <c r="H58" s="664"/>
      <c r="I58" s="659">
        <f>SUM(E57+I57)</f>
        <v>15077.886244776895</v>
      </c>
      <c r="J58" s="660"/>
    </row>
    <row r="59" spans="1:13" s="245" customFormat="1" ht="14.25" thickTop="1" thickBot="1" x14ac:dyDescent="0.25">
      <c r="A59" s="644" t="s">
        <v>243</v>
      </c>
      <c r="B59" s="645"/>
      <c r="C59" s="645"/>
      <c r="D59" s="645"/>
      <c r="E59" s="645"/>
      <c r="F59" s="646"/>
      <c r="H59" s="644" t="s">
        <v>244</v>
      </c>
      <c r="I59" s="645"/>
      <c r="J59" s="646"/>
    </row>
    <row r="60" spans="1:13" s="245" customFormat="1" ht="13.5" thickBot="1" x14ac:dyDescent="0.25">
      <c r="A60" s="668" t="s">
        <v>224</v>
      </c>
      <c r="B60" s="669"/>
      <c r="C60" s="669"/>
      <c r="D60" s="670"/>
      <c r="E60" s="649">
        <f>2811.99/1.7343</f>
        <v>1621.3976820619268</v>
      </c>
      <c r="F60" s="650"/>
      <c r="H60" s="265" t="s">
        <v>224</v>
      </c>
      <c r="I60" s="649">
        <f>M52</f>
        <v>1758.13</v>
      </c>
      <c r="J60" s="650"/>
      <c r="L60" s="259" t="e">
        <f>#REF!</f>
        <v>#REF!</v>
      </c>
    </row>
    <row r="61" spans="1:13" s="245" customFormat="1" x14ac:dyDescent="0.2">
      <c r="A61" s="634" t="s">
        <v>245</v>
      </c>
      <c r="B61" s="635"/>
      <c r="C61" s="635"/>
      <c r="D61" s="665"/>
      <c r="E61" s="624">
        <f>E14</f>
        <v>199.60000000000002</v>
      </c>
      <c r="F61" s="625"/>
      <c r="H61" s="260" t="s">
        <v>234</v>
      </c>
      <c r="I61" s="590">
        <f>E61</f>
        <v>199.60000000000002</v>
      </c>
      <c r="J61" s="591"/>
    </row>
    <row r="62" spans="1:13" s="245" customFormat="1" x14ac:dyDescent="0.2">
      <c r="A62" s="634" t="s">
        <v>230</v>
      </c>
      <c r="B62" s="635"/>
      <c r="C62" s="635"/>
      <c r="D62" s="665"/>
      <c r="E62" s="590">
        <f>8*E60/220*2</f>
        <v>117.91983142268559</v>
      </c>
      <c r="F62" s="591"/>
      <c r="H62" s="241" t="s">
        <v>230</v>
      </c>
      <c r="I62" s="590">
        <f>8*I60/220*2</f>
        <v>127.864</v>
      </c>
      <c r="J62" s="591"/>
    </row>
    <row r="63" spans="1:13" s="245" customFormat="1" x14ac:dyDescent="0.2">
      <c r="A63" s="634" t="s">
        <v>220</v>
      </c>
      <c r="B63" s="635"/>
      <c r="C63" s="635"/>
      <c r="D63" s="665"/>
      <c r="E63" s="666" t="s">
        <v>365</v>
      </c>
      <c r="F63" s="667"/>
      <c r="G63" s="266"/>
      <c r="H63" s="260" t="s">
        <v>220</v>
      </c>
      <c r="I63" s="628" t="s">
        <v>365</v>
      </c>
      <c r="J63" s="629"/>
    </row>
    <row r="64" spans="1:13" s="245" customFormat="1" x14ac:dyDescent="0.2">
      <c r="A64" s="634" t="s">
        <v>225</v>
      </c>
      <c r="B64" s="635"/>
      <c r="C64" s="635"/>
      <c r="D64" s="665"/>
      <c r="E64" s="671" t="s">
        <v>365</v>
      </c>
      <c r="F64" s="672"/>
      <c r="H64" s="260" t="s">
        <v>225</v>
      </c>
      <c r="I64" s="628">
        <f>SUM(I60*20/100)</f>
        <v>351.62600000000003</v>
      </c>
      <c r="J64" s="629"/>
    </row>
    <row r="65" spans="1:18" s="245" customFormat="1" x14ac:dyDescent="0.2">
      <c r="A65" s="673" t="s">
        <v>17</v>
      </c>
      <c r="B65" s="674"/>
      <c r="C65" s="674"/>
      <c r="D65" s="675"/>
      <c r="E65" s="676">
        <f>SUM(E60:F64)</f>
        <v>1938.9175134846123</v>
      </c>
      <c r="F65" s="677"/>
      <c r="H65" s="267" t="s">
        <v>17</v>
      </c>
      <c r="I65" s="653">
        <f>SUM(I60:J64)</f>
        <v>2437.2200000000003</v>
      </c>
      <c r="J65" s="654"/>
    </row>
    <row r="66" spans="1:18" s="245" customFormat="1" x14ac:dyDescent="0.2">
      <c r="A66" s="634" t="s">
        <v>221</v>
      </c>
      <c r="B66" s="635"/>
      <c r="C66" s="635"/>
      <c r="D66" s="665"/>
      <c r="E66" s="590">
        <f>E65*$I$9</f>
        <v>1411.7524003949059</v>
      </c>
      <c r="F66" s="591"/>
      <c r="H66" s="260" t="s">
        <v>221</v>
      </c>
      <c r="I66" s="590">
        <f>I65*$I$9</f>
        <v>1774.5732664546276</v>
      </c>
      <c r="J66" s="591"/>
    </row>
    <row r="67" spans="1:18" s="245" customFormat="1" x14ac:dyDescent="0.2">
      <c r="A67" s="634" t="s">
        <v>222</v>
      </c>
      <c r="B67" s="635"/>
      <c r="C67" s="635"/>
      <c r="D67" s="665"/>
      <c r="E67" s="590">
        <f>E19</f>
        <v>390</v>
      </c>
      <c r="F67" s="591"/>
      <c r="H67" s="241" t="s">
        <v>222</v>
      </c>
      <c r="I67" s="590">
        <f>E19</f>
        <v>390</v>
      </c>
      <c r="J67" s="591"/>
    </row>
    <row r="68" spans="1:18" s="245" customFormat="1" x14ac:dyDescent="0.2">
      <c r="A68" s="634" t="s">
        <v>289</v>
      </c>
      <c r="B68" s="635"/>
      <c r="C68" s="635"/>
      <c r="D68" s="665"/>
      <c r="E68" s="590">
        <v>40.58</v>
      </c>
      <c r="F68" s="591"/>
      <c r="H68" s="241" t="s">
        <v>289</v>
      </c>
      <c r="I68" s="590">
        <v>40.58</v>
      </c>
      <c r="J68" s="591"/>
    </row>
    <row r="69" spans="1:18" s="245" customFormat="1" x14ac:dyDescent="0.2">
      <c r="A69" s="241" t="s">
        <v>509</v>
      </c>
      <c r="B69" s="261"/>
      <c r="C69" s="261"/>
      <c r="D69" s="261"/>
      <c r="E69" s="590">
        <f>130+10</f>
        <v>140</v>
      </c>
      <c r="F69" s="591"/>
      <c r="H69" s="241" t="s">
        <v>509</v>
      </c>
      <c r="I69" s="590">
        <f>130+10</f>
        <v>140</v>
      </c>
      <c r="J69" s="591"/>
    </row>
    <row r="70" spans="1:18" s="245" customFormat="1" x14ac:dyDescent="0.2">
      <c r="A70" s="634" t="s">
        <v>229</v>
      </c>
      <c r="B70" s="635"/>
      <c r="C70" s="635"/>
      <c r="D70" s="665"/>
      <c r="E70" s="590">
        <f>E54</f>
        <v>823.33333333333337</v>
      </c>
      <c r="F70" s="591"/>
      <c r="H70" s="241" t="s">
        <v>229</v>
      </c>
      <c r="I70" s="590">
        <f>E70</f>
        <v>823.33333333333337</v>
      </c>
      <c r="J70" s="591"/>
    </row>
    <row r="71" spans="1:18" s="245" customFormat="1" x14ac:dyDescent="0.2">
      <c r="A71" s="634" t="s">
        <v>29</v>
      </c>
      <c r="B71" s="635"/>
      <c r="C71" s="635"/>
      <c r="D71" s="665"/>
      <c r="E71" s="959">
        <f>SUM(E60*0.7/12)</f>
        <v>94.581531453612399</v>
      </c>
      <c r="F71" s="960"/>
      <c r="H71" s="241" t="s">
        <v>29</v>
      </c>
      <c r="I71" s="959">
        <f>SUM(I60*0.7/12)</f>
        <v>102.55758333333334</v>
      </c>
      <c r="J71" s="960"/>
    </row>
    <row r="72" spans="1:18" s="245" customFormat="1" ht="13.5" thickBot="1" x14ac:dyDescent="0.25">
      <c r="A72" s="673" t="s">
        <v>223</v>
      </c>
      <c r="B72" s="674"/>
      <c r="C72" s="674"/>
      <c r="D72" s="675"/>
      <c r="E72" s="676">
        <f>SUM(E65:F71)</f>
        <v>4839.1647786664635</v>
      </c>
      <c r="F72" s="677"/>
      <c r="H72" s="263" t="s">
        <v>223</v>
      </c>
      <c r="I72" s="592">
        <f>SUM(I65:J71)</f>
        <v>5708.2641831212941</v>
      </c>
      <c r="J72" s="593"/>
    </row>
    <row r="73" spans="1:18" s="245" customFormat="1" ht="13.5" thickBot="1" x14ac:dyDescent="0.25">
      <c r="A73" s="647" t="s">
        <v>396</v>
      </c>
      <c r="B73" s="648"/>
      <c r="C73" s="648"/>
      <c r="D73" s="678"/>
      <c r="E73" s="632">
        <f>SUM(E72*'Lote 01 - P1-UTMB ASA SUL '!E263)</f>
        <v>4839.1647786664635</v>
      </c>
      <c r="F73" s="633"/>
      <c r="G73" s="244"/>
      <c r="H73" s="268" t="s">
        <v>397</v>
      </c>
      <c r="I73" s="679">
        <f>SUM(I72*'Lote 01 - P1-UTMB ASA SUL '!E264)</f>
        <v>5708.2641831212941</v>
      </c>
      <c r="J73" s="680"/>
    </row>
    <row r="74" spans="1:18" s="315" customFormat="1" ht="13.5" thickBot="1" x14ac:dyDescent="0.25">
      <c r="A74" s="663" t="s">
        <v>261</v>
      </c>
      <c r="B74" s="664"/>
      <c r="C74" s="664"/>
      <c r="D74" s="664"/>
      <c r="E74" s="664"/>
      <c r="F74" s="664"/>
      <c r="G74" s="664"/>
      <c r="H74" s="664"/>
      <c r="I74" s="659">
        <f>SUM(E73+I73)</f>
        <v>10547.428961787758</v>
      </c>
      <c r="J74" s="660"/>
    </row>
    <row r="75" spans="1:18" s="245" customFormat="1" ht="14.25" thickTop="1" thickBot="1" x14ac:dyDescent="0.25">
      <c r="A75" s="644" t="s">
        <v>246</v>
      </c>
      <c r="B75" s="645"/>
      <c r="C75" s="645"/>
      <c r="D75" s="645"/>
      <c r="E75" s="645"/>
      <c r="F75" s="646"/>
      <c r="H75" s="644" t="s">
        <v>247</v>
      </c>
      <c r="I75" s="645"/>
      <c r="J75" s="646"/>
      <c r="O75" s="245">
        <f>1224.58*1.1</f>
        <v>1347.038</v>
      </c>
    </row>
    <row r="76" spans="1:18" s="245" customFormat="1" x14ac:dyDescent="0.2">
      <c r="A76" s="661" t="s">
        <v>218</v>
      </c>
      <c r="B76" s="662"/>
      <c r="C76" s="662"/>
      <c r="D76" s="662"/>
      <c r="E76" s="649">
        <f>2021.5/1.7343</f>
        <v>1165.5999538718793</v>
      </c>
      <c r="F76" s="650"/>
      <c r="H76" s="265" t="s">
        <v>218</v>
      </c>
      <c r="I76" s="649">
        <f>E76</f>
        <v>1165.5999538718793</v>
      </c>
      <c r="J76" s="650"/>
      <c r="L76" s="259" t="e">
        <f>#REF!</f>
        <v>#REF!</v>
      </c>
    </row>
    <row r="77" spans="1:18" s="245" customFormat="1" x14ac:dyDescent="0.2">
      <c r="A77" s="626" t="s">
        <v>258</v>
      </c>
      <c r="B77" s="627"/>
      <c r="C77" s="627"/>
      <c r="D77" s="627"/>
      <c r="E77" s="628">
        <f>I10*0.2</f>
        <v>199.60000000000002</v>
      </c>
      <c r="F77" s="629"/>
      <c r="H77" s="260" t="s">
        <v>258</v>
      </c>
      <c r="I77" s="590">
        <f>E77</f>
        <v>199.60000000000002</v>
      </c>
      <c r="J77" s="591"/>
    </row>
    <row r="78" spans="1:18" s="245" customFormat="1" x14ac:dyDescent="0.2">
      <c r="A78" s="634" t="s">
        <v>230</v>
      </c>
      <c r="B78" s="635"/>
      <c r="C78" s="635"/>
      <c r="D78" s="635"/>
      <c r="E78" s="590">
        <f>8*E76/220*2</f>
        <v>84.770905736136669</v>
      </c>
      <c r="F78" s="591"/>
      <c r="H78" s="241" t="s">
        <v>230</v>
      </c>
      <c r="I78" s="590">
        <f>8*I76/220*2</f>
        <v>84.770905736136669</v>
      </c>
      <c r="J78" s="591"/>
    </row>
    <row r="79" spans="1:18" s="245" customFormat="1" x14ac:dyDescent="0.2">
      <c r="A79" s="626" t="s">
        <v>220</v>
      </c>
      <c r="B79" s="627"/>
      <c r="C79" s="627"/>
      <c r="D79" s="627"/>
      <c r="E79" s="628" t="s">
        <v>365</v>
      </c>
      <c r="F79" s="629"/>
      <c r="G79" s="266"/>
      <c r="H79" s="260" t="s">
        <v>220</v>
      </c>
      <c r="I79" s="628" t="s">
        <v>365</v>
      </c>
      <c r="J79" s="629"/>
    </row>
    <row r="80" spans="1:18" s="245" customFormat="1" x14ac:dyDescent="0.2">
      <c r="A80" s="626" t="s">
        <v>225</v>
      </c>
      <c r="B80" s="627"/>
      <c r="C80" s="627"/>
      <c r="D80" s="627"/>
      <c r="E80" s="628" t="s">
        <v>365</v>
      </c>
      <c r="F80" s="629"/>
      <c r="H80" s="260" t="s">
        <v>225</v>
      </c>
      <c r="I80" s="628">
        <f>SUM(I76*20/100)</f>
        <v>233.11999077437585</v>
      </c>
      <c r="J80" s="629"/>
      <c r="R80" s="245">
        <f>1886.5*0.3</f>
        <v>565.94999999999993</v>
      </c>
    </row>
    <row r="81" spans="1:16" s="245" customFormat="1" x14ac:dyDescent="0.2">
      <c r="A81" s="651" t="s">
        <v>17</v>
      </c>
      <c r="B81" s="652"/>
      <c r="C81" s="652"/>
      <c r="D81" s="652"/>
      <c r="E81" s="653">
        <f>SUM(E76:F80)</f>
        <v>1449.9708596080159</v>
      </c>
      <c r="F81" s="654"/>
      <c r="H81" s="267" t="s">
        <v>17</v>
      </c>
      <c r="I81" s="653">
        <f>SUM(I76:J80)</f>
        <v>1683.0908503823916</v>
      </c>
      <c r="J81" s="654"/>
    </row>
    <row r="82" spans="1:16" s="245" customFormat="1" x14ac:dyDescent="0.2">
      <c r="A82" s="626" t="s">
        <v>221</v>
      </c>
      <c r="B82" s="627"/>
      <c r="C82" s="627"/>
      <c r="D82" s="627"/>
      <c r="E82" s="590">
        <f>E81*$I$9</f>
        <v>1055.7436442334385</v>
      </c>
      <c r="F82" s="591"/>
      <c r="H82" s="260" t="s">
        <v>221</v>
      </c>
      <c r="I82" s="590">
        <f>I81*$I$9</f>
        <v>1225.4815027379464</v>
      </c>
      <c r="J82" s="591"/>
    </row>
    <row r="83" spans="1:16" s="245" customFormat="1" x14ac:dyDescent="0.2">
      <c r="A83" s="634" t="s">
        <v>222</v>
      </c>
      <c r="B83" s="635"/>
      <c r="C83" s="635"/>
      <c r="D83" s="635"/>
      <c r="E83" s="590">
        <f>E19</f>
        <v>390</v>
      </c>
      <c r="F83" s="591"/>
      <c r="H83" s="241" t="s">
        <v>222</v>
      </c>
      <c r="I83" s="590">
        <f>E19</f>
        <v>390</v>
      </c>
      <c r="J83" s="591"/>
    </row>
    <row r="84" spans="1:16" s="245" customFormat="1" x14ac:dyDescent="0.2">
      <c r="A84" s="634" t="s">
        <v>289</v>
      </c>
      <c r="B84" s="635"/>
      <c r="C84" s="635"/>
      <c r="D84" s="635"/>
      <c r="E84" s="590">
        <v>40.58</v>
      </c>
      <c r="F84" s="591"/>
      <c r="H84" s="241" t="s">
        <v>289</v>
      </c>
      <c r="I84" s="590">
        <v>40.58</v>
      </c>
      <c r="J84" s="591"/>
    </row>
    <row r="85" spans="1:16" s="245" customFormat="1" x14ac:dyDescent="0.2">
      <c r="A85" s="241" t="s">
        <v>509</v>
      </c>
      <c r="B85" s="261"/>
      <c r="C85" s="261"/>
      <c r="D85" s="261"/>
      <c r="E85" s="590">
        <f>130+10</f>
        <v>140</v>
      </c>
      <c r="F85" s="591"/>
      <c r="H85" s="241" t="s">
        <v>509</v>
      </c>
      <c r="I85" s="590">
        <f>130+10</f>
        <v>140</v>
      </c>
      <c r="J85" s="591"/>
    </row>
    <row r="86" spans="1:16" s="245" customFormat="1" x14ac:dyDescent="0.2">
      <c r="A86" s="634" t="s">
        <v>229</v>
      </c>
      <c r="B86" s="635"/>
      <c r="C86" s="635"/>
      <c r="D86" s="635"/>
      <c r="E86" s="590">
        <f>E70</f>
        <v>823.33333333333337</v>
      </c>
      <c r="F86" s="591"/>
      <c r="H86" s="241" t="s">
        <v>229</v>
      </c>
      <c r="I86" s="590">
        <f>E86</f>
        <v>823.33333333333337</v>
      </c>
      <c r="J86" s="591"/>
    </row>
    <row r="87" spans="1:16" s="245" customFormat="1" x14ac:dyDescent="0.2">
      <c r="A87" s="634" t="s">
        <v>29</v>
      </c>
      <c r="B87" s="635"/>
      <c r="C87" s="635"/>
      <c r="D87" s="635"/>
      <c r="E87" s="959">
        <f>SUM(E76*0.7/12)</f>
        <v>67.993330642526288</v>
      </c>
      <c r="F87" s="960"/>
      <c r="H87" s="241" t="s">
        <v>29</v>
      </c>
      <c r="I87" s="959">
        <f>SUM(I76*0.7/12)</f>
        <v>67.993330642526288</v>
      </c>
      <c r="J87" s="960"/>
      <c r="P87" s="245">
        <f>1886.5*1.1</f>
        <v>2075.15</v>
      </c>
    </row>
    <row r="88" spans="1:16" s="245" customFormat="1" ht="13.5" thickBot="1" x14ac:dyDescent="0.25">
      <c r="A88" s="647" t="s">
        <v>223</v>
      </c>
      <c r="B88" s="648"/>
      <c r="C88" s="648"/>
      <c r="D88" s="648"/>
      <c r="E88" s="592">
        <f>SUM(E81:F87)</f>
        <v>3967.6211678173145</v>
      </c>
      <c r="F88" s="593"/>
      <c r="H88" s="263" t="s">
        <v>223</v>
      </c>
      <c r="I88" s="592">
        <f>SUM(I81:J87)</f>
        <v>4370.4790170961978</v>
      </c>
      <c r="J88" s="593"/>
    </row>
    <row r="89" spans="1:16" s="245" customFormat="1" ht="13.5" thickBot="1" x14ac:dyDescent="0.25">
      <c r="A89" s="681" t="s">
        <v>525</v>
      </c>
      <c r="B89" s="682"/>
      <c r="C89" s="682"/>
      <c r="D89" s="682"/>
      <c r="E89" s="683">
        <f>SUM(E88*'Lote 01 - P1-UTMB ASA SUL '!E265)</f>
        <v>15870.484671269258</v>
      </c>
      <c r="F89" s="684"/>
      <c r="G89" s="244"/>
      <c r="H89" s="268" t="s">
        <v>526</v>
      </c>
      <c r="I89" s="679">
        <f>SUM(I88*'Lote 01 - P1-UTMB ASA SUL '!E266)</f>
        <v>8740.9580341923956</v>
      </c>
      <c r="J89" s="680"/>
    </row>
    <row r="90" spans="1:16" s="315" customFormat="1" ht="13.5" thickBot="1" x14ac:dyDescent="0.25">
      <c r="A90" s="663" t="s">
        <v>265</v>
      </c>
      <c r="B90" s="664"/>
      <c r="C90" s="664"/>
      <c r="D90" s="664"/>
      <c r="E90" s="664"/>
      <c r="F90" s="664"/>
      <c r="G90" s="664"/>
      <c r="H90" s="664"/>
      <c r="I90" s="659">
        <f>SUM(E89+I89)</f>
        <v>24611.442705461654</v>
      </c>
      <c r="J90" s="660"/>
    </row>
    <row r="91" spans="1:16" s="245" customFormat="1" ht="14.25" thickTop="1" thickBot="1" x14ac:dyDescent="0.25">
      <c r="A91" s="644" t="s">
        <v>248</v>
      </c>
      <c r="B91" s="645"/>
      <c r="C91" s="645"/>
      <c r="D91" s="645"/>
      <c r="E91" s="645"/>
      <c r="F91" s="646"/>
      <c r="H91" s="644" t="s">
        <v>249</v>
      </c>
      <c r="I91" s="645"/>
      <c r="J91" s="646"/>
    </row>
    <row r="92" spans="1:16" s="245" customFormat="1" x14ac:dyDescent="0.2">
      <c r="A92" s="661" t="s">
        <v>224</v>
      </c>
      <c r="B92" s="662"/>
      <c r="C92" s="662"/>
      <c r="D92" s="662"/>
      <c r="E92" s="649">
        <f>2811.99/1.7343</f>
        <v>1621.3976820619268</v>
      </c>
      <c r="F92" s="650"/>
      <c r="H92" s="265" t="s">
        <v>224</v>
      </c>
      <c r="I92" s="649">
        <f>E92</f>
        <v>1621.3976820619268</v>
      </c>
      <c r="J92" s="650"/>
      <c r="L92" s="259" t="e">
        <f>#REF!</f>
        <v>#REF!</v>
      </c>
    </row>
    <row r="93" spans="1:16" s="245" customFormat="1" x14ac:dyDescent="0.2">
      <c r="A93" s="626" t="s">
        <v>266</v>
      </c>
      <c r="B93" s="627"/>
      <c r="C93" s="627"/>
      <c r="D93" s="627"/>
      <c r="E93" s="628">
        <f>E92*0.3</f>
        <v>486.41930461857805</v>
      </c>
      <c r="F93" s="629"/>
      <c r="H93" s="260" t="s">
        <v>266</v>
      </c>
      <c r="I93" s="590">
        <f>I92*0.3</f>
        <v>486.41930461857805</v>
      </c>
      <c r="J93" s="591"/>
    </row>
    <row r="94" spans="1:16" s="245" customFormat="1" x14ac:dyDescent="0.2">
      <c r="A94" s="634" t="s">
        <v>230</v>
      </c>
      <c r="B94" s="635"/>
      <c r="C94" s="635"/>
      <c r="D94" s="635"/>
      <c r="E94" s="590">
        <f>8*E92/220*2</f>
        <v>117.91983142268559</v>
      </c>
      <c r="F94" s="591"/>
      <c r="H94" s="241" t="s">
        <v>230</v>
      </c>
      <c r="I94" s="590">
        <f>8*I92/220*2</f>
        <v>117.91983142268559</v>
      </c>
      <c r="J94" s="591"/>
    </row>
    <row r="95" spans="1:16" s="245" customFormat="1" x14ac:dyDescent="0.2">
      <c r="A95" s="626" t="s">
        <v>220</v>
      </c>
      <c r="B95" s="627"/>
      <c r="C95" s="627"/>
      <c r="D95" s="627"/>
      <c r="E95" s="628" t="s">
        <v>365</v>
      </c>
      <c r="F95" s="629"/>
      <c r="G95" s="266"/>
      <c r="H95" s="260" t="s">
        <v>220</v>
      </c>
      <c r="I95" s="628" t="s">
        <v>365</v>
      </c>
      <c r="J95" s="629"/>
    </row>
    <row r="96" spans="1:16" s="245" customFormat="1" x14ac:dyDescent="0.2">
      <c r="A96" s="626" t="s">
        <v>225</v>
      </c>
      <c r="B96" s="627"/>
      <c r="C96" s="627"/>
      <c r="D96" s="627"/>
      <c r="E96" s="628" t="s">
        <v>365</v>
      </c>
      <c r="F96" s="629"/>
      <c r="H96" s="260" t="s">
        <v>225</v>
      </c>
      <c r="I96" s="628">
        <f>SUM(I92*20/100)</f>
        <v>324.27953641238537</v>
      </c>
      <c r="J96" s="629"/>
    </row>
    <row r="97" spans="1:15" s="245" customFormat="1" x14ac:dyDescent="0.2">
      <c r="A97" s="651" t="s">
        <v>17</v>
      </c>
      <c r="B97" s="652"/>
      <c r="C97" s="652"/>
      <c r="D97" s="652"/>
      <c r="E97" s="653">
        <f>SUM(E92:F96)</f>
        <v>2225.7368181031902</v>
      </c>
      <c r="F97" s="654"/>
      <c r="H97" s="267" t="s">
        <v>17</v>
      </c>
      <c r="I97" s="653">
        <f>SUM(I92:J96)</f>
        <v>2550.0163545155756</v>
      </c>
      <c r="J97" s="654"/>
    </row>
    <row r="98" spans="1:15" s="245" customFormat="1" x14ac:dyDescent="0.2">
      <c r="A98" s="626" t="s">
        <v>221</v>
      </c>
      <c r="B98" s="627"/>
      <c r="C98" s="627"/>
      <c r="D98" s="627"/>
      <c r="E98" s="590">
        <f>E97*$I$9</f>
        <v>1620.5894648696906</v>
      </c>
      <c r="F98" s="591"/>
      <c r="H98" s="260" t="s">
        <v>221</v>
      </c>
      <c r="I98" s="590">
        <f>I97*$I$9</f>
        <v>1856.7018372348111</v>
      </c>
      <c r="J98" s="591"/>
    </row>
    <row r="99" spans="1:15" s="245" customFormat="1" x14ac:dyDescent="0.2">
      <c r="A99" s="634" t="s">
        <v>222</v>
      </c>
      <c r="B99" s="635"/>
      <c r="C99" s="635"/>
      <c r="D99" s="635"/>
      <c r="E99" s="590">
        <f>E19</f>
        <v>390</v>
      </c>
      <c r="F99" s="591"/>
      <c r="H99" s="241" t="s">
        <v>222</v>
      </c>
      <c r="I99" s="590">
        <f>E19</f>
        <v>390</v>
      </c>
      <c r="J99" s="591"/>
    </row>
    <row r="100" spans="1:15" s="245" customFormat="1" x14ac:dyDescent="0.2">
      <c r="A100" s="634" t="s">
        <v>289</v>
      </c>
      <c r="B100" s="635"/>
      <c r="C100" s="635"/>
      <c r="D100" s="635"/>
      <c r="E100" s="590">
        <v>40.58</v>
      </c>
      <c r="F100" s="591"/>
      <c r="H100" s="241" t="s">
        <v>288</v>
      </c>
      <c r="I100" s="590">
        <v>40.58</v>
      </c>
      <c r="J100" s="591"/>
    </row>
    <row r="101" spans="1:15" s="245" customFormat="1" x14ac:dyDescent="0.2">
      <c r="A101" s="241" t="s">
        <v>509</v>
      </c>
      <c r="B101" s="261"/>
      <c r="C101" s="261"/>
      <c r="D101" s="261"/>
      <c r="E101" s="590">
        <f>130+10</f>
        <v>140</v>
      </c>
      <c r="F101" s="591"/>
      <c r="H101" s="241" t="s">
        <v>509</v>
      </c>
      <c r="I101" s="590">
        <f>130+10</f>
        <v>140</v>
      </c>
      <c r="J101" s="591"/>
    </row>
    <row r="102" spans="1:15" s="245" customFormat="1" x14ac:dyDescent="0.2">
      <c r="A102" s="634" t="s">
        <v>229</v>
      </c>
      <c r="B102" s="635"/>
      <c r="C102" s="635"/>
      <c r="D102" s="635"/>
      <c r="E102" s="590">
        <f>E86</f>
        <v>823.33333333333337</v>
      </c>
      <c r="F102" s="591"/>
      <c r="H102" s="241" t="s">
        <v>229</v>
      </c>
      <c r="I102" s="590">
        <f>E102</f>
        <v>823.33333333333337</v>
      </c>
      <c r="J102" s="591"/>
    </row>
    <row r="103" spans="1:15" s="245" customFormat="1" x14ac:dyDescent="0.2">
      <c r="A103" s="634" t="s">
        <v>29</v>
      </c>
      <c r="B103" s="635"/>
      <c r="C103" s="635"/>
      <c r="D103" s="635"/>
      <c r="E103" s="959">
        <f>SUM(E92*0.7/12)</f>
        <v>94.581531453612399</v>
      </c>
      <c r="F103" s="960"/>
      <c r="H103" s="241" t="s">
        <v>29</v>
      </c>
      <c r="I103" s="959">
        <f>SUM(I92*0.7/12)</f>
        <v>94.581531453612399</v>
      </c>
      <c r="J103" s="960"/>
    </row>
    <row r="104" spans="1:15" s="245" customFormat="1" ht="13.5" thickBot="1" x14ac:dyDescent="0.25">
      <c r="A104" s="647" t="s">
        <v>223</v>
      </c>
      <c r="B104" s="648"/>
      <c r="C104" s="648"/>
      <c r="D104" s="648"/>
      <c r="E104" s="592">
        <f>SUM(E97:F103)</f>
        <v>5334.8211477598261</v>
      </c>
      <c r="F104" s="593"/>
      <c r="H104" s="263" t="s">
        <v>223</v>
      </c>
      <c r="I104" s="592">
        <f>SUM(I97:J103)</f>
        <v>5895.2130565373318</v>
      </c>
      <c r="J104" s="593"/>
    </row>
    <row r="105" spans="1:15" s="245" customFormat="1" ht="13.5" thickBot="1" x14ac:dyDescent="0.25">
      <c r="A105" s="681" t="s">
        <v>398</v>
      </c>
      <c r="B105" s="682"/>
      <c r="C105" s="682"/>
      <c r="D105" s="682"/>
      <c r="E105" s="679">
        <f>SUM(E104*'Lote 01 - P1-UTMB ASA SUL '!E267)</f>
        <v>10669.642295519652</v>
      </c>
      <c r="F105" s="680"/>
      <c r="G105" s="244"/>
      <c r="H105" s="268" t="s">
        <v>399</v>
      </c>
      <c r="I105" s="679">
        <f>SUM(I104*'Lote 01 - P1-UTMB ASA SUL '!E270)</f>
        <v>5895.2130565373318</v>
      </c>
      <c r="J105" s="680"/>
    </row>
    <row r="106" spans="1:15" s="315" customFormat="1" ht="13.5" thickBot="1" x14ac:dyDescent="0.25">
      <c r="A106" s="663" t="s">
        <v>250</v>
      </c>
      <c r="B106" s="664"/>
      <c r="C106" s="664"/>
      <c r="D106" s="664"/>
      <c r="E106" s="664"/>
      <c r="F106" s="664"/>
      <c r="G106" s="664"/>
      <c r="H106" s="664"/>
      <c r="I106" s="659">
        <f>SUM(E105+I105)</f>
        <v>16564.855352056984</v>
      </c>
      <c r="J106" s="660"/>
    </row>
    <row r="107" spans="1:15" s="245" customFormat="1" ht="14.25" thickTop="1" thickBot="1" x14ac:dyDescent="0.25">
      <c r="A107" s="644" t="s">
        <v>251</v>
      </c>
      <c r="B107" s="645"/>
      <c r="C107" s="645"/>
      <c r="D107" s="645"/>
      <c r="E107" s="645"/>
      <c r="F107" s="646"/>
      <c r="H107" s="644" t="s">
        <v>252</v>
      </c>
      <c r="I107" s="645"/>
      <c r="J107" s="646"/>
      <c r="O107" s="245">
        <f>1816.27*1.1</f>
        <v>1997.8970000000002</v>
      </c>
    </row>
    <row r="108" spans="1:15" s="245" customFormat="1" x14ac:dyDescent="0.2">
      <c r="A108" s="661" t="s">
        <v>218</v>
      </c>
      <c r="B108" s="662"/>
      <c r="C108" s="662"/>
      <c r="D108" s="662"/>
      <c r="E108" s="649">
        <f>2800.54/1.7343</f>
        <v>1614.7955947644582</v>
      </c>
      <c r="F108" s="650"/>
      <c r="H108" s="265" t="s">
        <v>218</v>
      </c>
      <c r="I108" s="649">
        <f>E108</f>
        <v>1614.7955947644582</v>
      </c>
      <c r="J108" s="650"/>
      <c r="L108" s="259" t="e">
        <f>#REF!</f>
        <v>#REF!</v>
      </c>
    </row>
    <row r="109" spans="1:15" s="245" customFormat="1" x14ac:dyDescent="0.2">
      <c r="A109" s="626" t="s">
        <v>258</v>
      </c>
      <c r="B109" s="627"/>
      <c r="C109" s="627"/>
      <c r="D109" s="627"/>
      <c r="E109" s="628">
        <f>E77</f>
        <v>199.60000000000002</v>
      </c>
      <c r="F109" s="629"/>
      <c r="H109" s="260" t="s">
        <v>258</v>
      </c>
      <c r="I109" s="590">
        <f>E109</f>
        <v>199.60000000000002</v>
      </c>
      <c r="J109" s="591"/>
    </row>
    <row r="110" spans="1:15" s="245" customFormat="1" x14ac:dyDescent="0.2">
      <c r="A110" s="634" t="s">
        <v>230</v>
      </c>
      <c r="B110" s="635"/>
      <c r="C110" s="635"/>
      <c r="D110" s="635"/>
      <c r="E110" s="590">
        <f>8*E108/220*2</f>
        <v>117.43967961923332</v>
      </c>
      <c r="F110" s="591"/>
      <c r="H110" s="241" t="s">
        <v>230</v>
      </c>
      <c r="I110" s="590">
        <f>8*I108/220*2</f>
        <v>117.43967961923332</v>
      </c>
      <c r="J110" s="591"/>
    </row>
    <row r="111" spans="1:15" s="245" customFormat="1" x14ac:dyDescent="0.2">
      <c r="A111" s="626" t="s">
        <v>220</v>
      </c>
      <c r="B111" s="627"/>
      <c r="C111" s="627"/>
      <c r="D111" s="627"/>
      <c r="E111" s="628" t="s">
        <v>365</v>
      </c>
      <c r="F111" s="629"/>
      <c r="G111" s="266"/>
      <c r="H111" s="260" t="s">
        <v>220</v>
      </c>
      <c r="I111" s="628" t="s">
        <v>365</v>
      </c>
      <c r="J111" s="629"/>
    </row>
    <row r="112" spans="1:15" s="245" customFormat="1" x14ac:dyDescent="0.2">
      <c r="A112" s="626" t="s">
        <v>225</v>
      </c>
      <c r="B112" s="627"/>
      <c r="C112" s="627"/>
      <c r="D112" s="627"/>
      <c r="E112" s="628" t="s">
        <v>365</v>
      </c>
      <c r="F112" s="629"/>
      <c r="H112" s="260" t="s">
        <v>225</v>
      </c>
      <c r="I112" s="628">
        <f>SUM(I108*20/100)</f>
        <v>322.95911895289169</v>
      </c>
      <c r="J112" s="629"/>
    </row>
    <row r="113" spans="1:12" s="245" customFormat="1" x14ac:dyDescent="0.2">
      <c r="A113" s="651" t="s">
        <v>17</v>
      </c>
      <c r="B113" s="652"/>
      <c r="C113" s="652"/>
      <c r="D113" s="652"/>
      <c r="E113" s="653">
        <f>SUM(E108:F112)</f>
        <v>1931.8352743836915</v>
      </c>
      <c r="F113" s="654"/>
      <c r="H113" s="267" t="s">
        <v>17</v>
      </c>
      <c r="I113" s="653">
        <f>SUM(I108:J112)</f>
        <v>2254.7943933365832</v>
      </c>
      <c r="J113" s="654"/>
    </row>
    <row r="114" spans="1:12" s="245" customFormat="1" x14ac:dyDescent="0.2">
      <c r="A114" s="626" t="s">
        <v>221</v>
      </c>
      <c r="B114" s="627"/>
      <c r="C114" s="627"/>
      <c r="D114" s="627"/>
      <c r="E114" s="590">
        <f>E113*$I$9</f>
        <v>1406.595725094714</v>
      </c>
      <c r="F114" s="591"/>
      <c r="H114" s="260" t="s">
        <v>221</v>
      </c>
      <c r="I114" s="590">
        <f>I113*$I$9</f>
        <v>1641.7466834208158</v>
      </c>
      <c r="J114" s="591"/>
    </row>
    <row r="115" spans="1:12" s="245" customFormat="1" x14ac:dyDescent="0.2">
      <c r="A115" s="634" t="s">
        <v>222</v>
      </c>
      <c r="B115" s="635"/>
      <c r="C115" s="635"/>
      <c r="D115" s="635"/>
      <c r="E115" s="590">
        <f>E19</f>
        <v>390</v>
      </c>
      <c r="F115" s="591"/>
      <c r="H115" s="241" t="s">
        <v>222</v>
      </c>
      <c r="I115" s="590">
        <f>E19</f>
        <v>390</v>
      </c>
      <c r="J115" s="591"/>
    </row>
    <row r="116" spans="1:12" s="245" customFormat="1" x14ac:dyDescent="0.2">
      <c r="A116" s="634" t="s">
        <v>289</v>
      </c>
      <c r="B116" s="635"/>
      <c r="C116" s="635"/>
      <c r="D116" s="635"/>
      <c r="E116" s="590">
        <v>40.58</v>
      </c>
      <c r="F116" s="591"/>
      <c r="H116" s="241" t="s">
        <v>288</v>
      </c>
      <c r="I116" s="590">
        <v>40.58</v>
      </c>
      <c r="J116" s="591"/>
    </row>
    <row r="117" spans="1:12" s="245" customFormat="1" x14ac:dyDescent="0.2">
      <c r="A117" s="241" t="s">
        <v>509</v>
      </c>
      <c r="B117" s="261"/>
      <c r="C117" s="261"/>
      <c r="D117" s="261"/>
      <c r="E117" s="590">
        <f>130+10</f>
        <v>140</v>
      </c>
      <c r="F117" s="591"/>
      <c r="H117" s="241" t="s">
        <v>509</v>
      </c>
      <c r="I117" s="590">
        <f>130+10</f>
        <v>140</v>
      </c>
      <c r="J117" s="591"/>
    </row>
    <row r="118" spans="1:12" s="245" customFormat="1" x14ac:dyDescent="0.2">
      <c r="A118" s="634" t="s">
        <v>229</v>
      </c>
      <c r="B118" s="635"/>
      <c r="C118" s="635"/>
      <c r="D118" s="635"/>
      <c r="E118" s="590">
        <f>E102</f>
        <v>823.33333333333337</v>
      </c>
      <c r="F118" s="591"/>
      <c r="H118" s="241" t="s">
        <v>229</v>
      </c>
      <c r="I118" s="590">
        <f>E118</f>
        <v>823.33333333333337</v>
      </c>
      <c r="J118" s="591"/>
    </row>
    <row r="119" spans="1:12" s="245" customFormat="1" x14ac:dyDescent="0.2">
      <c r="A119" s="634" t="s">
        <v>29</v>
      </c>
      <c r="B119" s="635"/>
      <c r="C119" s="635"/>
      <c r="D119" s="635"/>
      <c r="E119" s="959">
        <f>SUM(E108*0.7/12)</f>
        <v>94.196409694593385</v>
      </c>
      <c r="F119" s="960"/>
      <c r="H119" s="241" t="s">
        <v>29</v>
      </c>
      <c r="I119" s="959">
        <f>SUM(I108*0.7/12)</f>
        <v>94.196409694593385</v>
      </c>
      <c r="J119" s="960"/>
    </row>
    <row r="120" spans="1:12" s="245" customFormat="1" ht="13.5" thickBot="1" x14ac:dyDescent="0.25">
      <c r="A120" s="647" t="s">
        <v>223</v>
      </c>
      <c r="B120" s="648"/>
      <c r="C120" s="648"/>
      <c r="D120" s="648"/>
      <c r="E120" s="592">
        <f>SUM(E113:F119)</f>
        <v>4826.5407425063313</v>
      </c>
      <c r="F120" s="593"/>
      <c r="H120" s="263" t="s">
        <v>223</v>
      </c>
      <c r="I120" s="592">
        <f>SUM(I113:J119)</f>
        <v>5384.6508197853254</v>
      </c>
      <c r="J120" s="593"/>
    </row>
    <row r="121" spans="1:12" s="245" customFormat="1" ht="13.5" thickBot="1" x14ac:dyDescent="0.25">
      <c r="A121" s="681" t="s">
        <v>400</v>
      </c>
      <c r="B121" s="682"/>
      <c r="C121" s="682"/>
      <c r="D121" s="682"/>
      <c r="E121" s="679">
        <f>SUM(E120*'Lote 01 - P1-UTMB ASA SUL '!E269)</f>
        <v>9653.0814850126626</v>
      </c>
      <c r="F121" s="680"/>
      <c r="G121" s="244"/>
      <c r="H121" s="268" t="s">
        <v>401</v>
      </c>
      <c r="I121" s="679">
        <f>SUM(I120*'Lote 01 - P1-UTMB ASA SUL '!E270)</f>
        <v>5384.6508197853254</v>
      </c>
      <c r="J121" s="680"/>
    </row>
    <row r="122" spans="1:12" s="315" customFormat="1" ht="13.5" thickBot="1" x14ac:dyDescent="0.25">
      <c r="A122" s="663" t="s">
        <v>271</v>
      </c>
      <c r="B122" s="664"/>
      <c r="C122" s="664"/>
      <c r="D122" s="664"/>
      <c r="E122" s="664"/>
      <c r="F122" s="664"/>
      <c r="G122" s="664"/>
      <c r="H122" s="664"/>
      <c r="I122" s="659">
        <f>SUM(E121+I121)</f>
        <v>15037.732304797988</v>
      </c>
      <c r="J122" s="660"/>
    </row>
    <row r="123" spans="1:12" s="245" customFormat="1" ht="14.25" thickTop="1" thickBot="1" x14ac:dyDescent="0.25">
      <c r="A123" s="644" t="s">
        <v>253</v>
      </c>
      <c r="B123" s="645"/>
      <c r="C123" s="645"/>
      <c r="D123" s="645"/>
      <c r="E123" s="645"/>
      <c r="F123" s="646"/>
      <c r="H123" s="644" t="s">
        <v>254</v>
      </c>
      <c r="I123" s="645"/>
      <c r="J123" s="646"/>
    </row>
    <row r="124" spans="1:12" s="245" customFormat="1" x14ac:dyDescent="0.2">
      <c r="A124" s="661" t="s">
        <v>218</v>
      </c>
      <c r="B124" s="662"/>
      <c r="C124" s="662"/>
      <c r="D124" s="662"/>
      <c r="E124" s="649">
        <f>E108</f>
        <v>1614.7955947644582</v>
      </c>
      <c r="F124" s="650"/>
      <c r="H124" s="265" t="s">
        <v>218</v>
      </c>
      <c r="I124" s="649">
        <f>E124</f>
        <v>1614.7955947644582</v>
      </c>
      <c r="J124" s="650"/>
      <c r="L124" s="259" t="e">
        <f>#REF!</f>
        <v>#REF!</v>
      </c>
    </row>
    <row r="125" spans="1:12" s="245" customFormat="1" x14ac:dyDescent="0.2">
      <c r="A125" s="626" t="s">
        <v>258</v>
      </c>
      <c r="B125" s="627"/>
      <c r="C125" s="627"/>
      <c r="D125" s="627"/>
      <c r="E125" s="628">
        <f>E109</f>
        <v>199.60000000000002</v>
      </c>
      <c r="F125" s="629"/>
      <c r="H125" s="260" t="s">
        <v>258</v>
      </c>
      <c r="I125" s="590">
        <f>E125</f>
        <v>199.60000000000002</v>
      </c>
      <c r="J125" s="591"/>
    </row>
    <row r="126" spans="1:12" s="245" customFormat="1" x14ac:dyDescent="0.2">
      <c r="A126" s="634" t="s">
        <v>230</v>
      </c>
      <c r="B126" s="635"/>
      <c r="C126" s="635"/>
      <c r="D126" s="635"/>
      <c r="E126" s="590">
        <f>8*E124/220*2</f>
        <v>117.43967961923332</v>
      </c>
      <c r="F126" s="591"/>
      <c r="H126" s="241" t="s">
        <v>230</v>
      </c>
      <c r="I126" s="590">
        <f>8*I124/220*2</f>
        <v>117.43967961923332</v>
      </c>
      <c r="J126" s="591"/>
    </row>
    <row r="127" spans="1:12" s="245" customFormat="1" x14ac:dyDescent="0.2">
      <c r="A127" s="626" t="s">
        <v>220</v>
      </c>
      <c r="B127" s="627"/>
      <c r="C127" s="627"/>
      <c r="D127" s="627"/>
      <c r="E127" s="628" t="s">
        <v>365</v>
      </c>
      <c r="F127" s="629"/>
      <c r="G127" s="266"/>
      <c r="H127" s="260" t="s">
        <v>220</v>
      </c>
      <c r="I127" s="628" t="s">
        <v>365</v>
      </c>
      <c r="J127" s="629"/>
    </row>
    <row r="128" spans="1:12" s="245" customFormat="1" x14ac:dyDescent="0.2">
      <c r="A128" s="626" t="s">
        <v>225</v>
      </c>
      <c r="B128" s="627"/>
      <c r="C128" s="627"/>
      <c r="D128" s="627"/>
      <c r="E128" s="628" t="s">
        <v>365</v>
      </c>
      <c r="F128" s="629"/>
      <c r="H128" s="260" t="s">
        <v>225</v>
      </c>
      <c r="I128" s="628">
        <f>SUM(I124*20/100)</f>
        <v>322.95911895289169</v>
      </c>
      <c r="J128" s="629"/>
    </row>
    <row r="129" spans="1:15" s="245" customFormat="1" x14ac:dyDescent="0.2">
      <c r="A129" s="651" t="s">
        <v>17</v>
      </c>
      <c r="B129" s="652"/>
      <c r="C129" s="652"/>
      <c r="D129" s="652"/>
      <c r="E129" s="653">
        <f>SUM(E124:F128)</f>
        <v>1931.8352743836915</v>
      </c>
      <c r="F129" s="654"/>
      <c r="H129" s="267" t="s">
        <v>17</v>
      </c>
      <c r="I129" s="653">
        <f>SUM(I124:J128)</f>
        <v>2254.7943933365832</v>
      </c>
      <c r="J129" s="654"/>
    </row>
    <row r="130" spans="1:15" s="245" customFormat="1" x14ac:dyDescent="0.2">
      <c r="A130" s="626" t="s">
        <v>221</v>
      </c>
      <c r="B130" s="627"/>
      <c r="C130" s="627"/>
      <c r="D130" s="627"/>
      <c r="E130" s="590">
        <f>E129*$I$9</f>
        <v>1406.595725094714</v>
      </c>
      <c r="F130" s="591"/>
      <c r="H130" s="260" t="s">
        <v>221</v>
      </c>
      <c r="I130" s="590">
        <f>I129*$I$9</f>
        <v>1641.7466834208158</v>
      </c>
      <c r="J130" s="591"/>
    </row>
    <row r="131" spans="1:15" s="245" customFormat="1" x14ac:dyDescent="0.2">
      <c r="A131" s="634" t="s">
        <v>222</v>
      </c>
      <c r="B131" s="635"/>
      <c r="C131" s="635"/>
      <c r="D131" s="635"/>
      <c r="E131" s="590">
        <f>E19</f>
        <v>390</v>
      </c>
      <c r="F131" s="591"/>
      <c r="H131" s="241" t="s">
        <v>222</v>
      </c>
      <c r="I131" s="590">
        <f>E19</f>
        <v>390</v>
      </c>
      <c r="J131" s="591"/>
    </row>
    <row r="132" spans="1:15" s="245" customFormat="1" x14ac:dyDescent="0.2">
      <c r="A132" s="634" t="s">
        <v>289</v>
      </c>
      <c r="B132" s="635"/>
      <c r="C132" s="635"/>
      <c r="D132" s="635"/>
      <c r="E132" s="590">
        <v>40.58</v>
      </c>
      <c r="F132" s="591"/>
      <c r="H132" s="241" t="s">
        <v>288</v>
      </c>
      <c r="I132" s="590">
        <v>40.58</v>
      </c>
      <c r="J132" s="591"/>
      <c r="O132" s="245">
        <f>3403.94*1.1</f>
        <v>3744.3340000000003</v>
      </c>
    </row>
    <row r="133" spans="1:15" s="245" customFormat="1" x14ac:dyDescent="0.2">
      <c r="A133" s="241" t="s">
        <v>509</v>
      </c>
      <c r="B133" s="261"/>
      <c r="C133" s="261"/>
      <c r="D133" s="261"/>
      <c r="E133" s="590">
        <f>130+10</f>
        <v>140</v>
      </c>
      <c r="F133" s="591"/>
      <c r="H133" s="241" t="s">
        <v>509</v>
      </c>
      <c r="I133" s="590">
        <f>130+10</f>
        <v>140</v>
      </c>
      <c r="J133" s="591"/>
    </row>
    <row r="134" spans="1:15" s="245" customFormat="1" x14ac:dyDescent="0.2">
      <c r="A134" s="634" t="s">
        <v>229</v>
      </c>
      <c r="B134" s="635"/>
      <c r="C134" s="635"/>
      <c r="D134" s="635"/>
      <c r="E134" s="590">
        <f>E118</f>
        <v>823.33333333333337</v>
      </c>
      <c r="F134" s="591"/>
      <c r="H134" s="241" t="s">
        <v>229</v>
      </c>
      <c r="I134" s="590">
        <f>E134</f>
        <v>823.33333333333337</v>
      </c>
      <c r="J134" s="591"/>
    </row>
    <row r="135" spans="1:15" s="245" customFormat="1" x14ac:dyDescent="0.2">
      <c r="A135" s="634" t="s">
        <v>29</v>
      </c>
      <c r="B135" s="635"/>
      <c r="C135" s="635"/>
      <c r="D135" s="635"/>
      <c r="E135" s="959">
        <f>SUM(E124*0.7/12)</f>
        <v>94.196409694593385</v>
      </c>
      <c r="F135" s="960"/>
      <c r="H135" s="241" t="s">
        <v>29</v>
      </c>
      <c r="I135" s="959">
        <f>SUM(I124*0.7/12)</f>
        <v>94.196409694593385</v>
      </c>
      <c r="J135" s="960"/>
    </row>
    <row r="136" spans="1:15" s="245" customFormat="1" ht="13.5" thickBot="1" x14ac:dyDescent="0.25">
      <c r="A136" s="647" t="s">
        <v>223</v>
      </c>
      <c r="B136" s="648"/>
      <c r="C136" s="648"/>
      <c r="D136" s="648"/>
      <c r="E136" s="592">
        <f>SUM(E129:F135)</f>
        <v>4826.5407425063313</v>
      </c>
      <c r="F136" s="593"/>
      <c r="H136" s="263" t="s">
        <v>223</v>
      </c>
      <c r="I136" s="592">
        <f>SUM(I129:J135)</f>
        <v>5384.6508197853254</v>
      </c>
      <c r="J136" s="593"/>
    </row>
    <row r="137" spans="1:15" s="245" customFormat="1" ht="13.5" thickBot="1" x14ac:dyDescent="0.25">
      <c r="A137" s="681" t="s">
        <v>527</v>
      </c>
      <c r="B137" s="682"/>
      <c r="C137" s="682"/>
      <c r="D137" s="682"/>
      <c r="E137" s="679">
        <f>SUM(E136*'Lote 01 - P1-UTMB ASA SUL '!E271)</f>
        <v>19306.162970025325</v>
      </c>
      <c r="F137" s="680"/>
      <c r="G137" s="244"/>
      <c r="H137" s="268" t="s">
        <v>402</v>
      </c>
      <c r="I137" s="679">
        <f>SUM(I136*'Lote 01 - P1-UTMB ASA SUL '!E272)</f>
        <v>5384.6508197853254</v>
      </c>
      <c r="J137" s="680"/>
    </row>
    <row r="138" spans="1:15" s="315" customFormat="1" ht="13.5" thickBot="1" x14ac:dyDescent="0.25">
      <c r="A138" s="663" t="s">
        <v>274</v>
      </c>
      <c r="B138" s="664"/>
      <c r="C138" s="664"/>
      <c r="D138" s="664"/>
      <c r="E138" s="664"/>
      <c r="F138" s="664"/>
      <c r="G138" s="664"/>
      <c r="H138" s="664"/>
      <c r="I138" s="659">
        <f>SUM(E137+I137)</f>
        <v>24690.813789810651</v>
      </c>
      <c r="J138" s="660"/>
    </row>
    <row r="139" spans="1:15" s="245" customFormat="1" ht="14.25" thickTop="1" thickBot="1" x14ac:dyDescent="0.25">
      <c r="A139" s="644" t="s">
        <v>255</v>
      </c>
      <c r="B139" s="645"/>
      <c r="C139" s="645"/>
      <c r="D139" s="645"/>
      <c r="E139" s="645"/>
      <c r="F139" s="646"/>
      <c r="H139" s="618" t="s">
        <v>513</v>
      </c>
      <c r="I139" s="619"/>
      <c r="J139" s="619"/>
    </row>
    <row r="140" spans="1:15" s="245" customFormat="1" x14ac:dyDescent="0.2">
      <c r="A140" s="661" t="s">
        <v>224</v>
      </c>
      <c r="B140" s="662"/>
      <c r="C140" s="662"/>
      <c r="D140" s="662"/>
      <c r="E140" s="649">
        <f>4250.5/1.7343</f>
        <v>2450.8447212131696</v>
      </c>
      <c r="F140" s="650"/>
      <c r="H140" s="265" t="s">
        <v>218</v>
      </c>
      <c r="I140" s="590">
        <f>I13</f>
        <v>1402.1045955140403</v>
      </c>
      <c r="J140" s="591"/>
      <c r="L140" s="259" t="e">
        <f>#REF!</f>
        <v>#REF!</v>
      </c>
    </row>
    <row r="141" spans="1:15" s="245" customFormat="1" x14ac:dyDescent="0.2">
      <c r="A141" s="626" t="s">
        <v>245</v>
      </c>
      <c r="B141" s="627"/>
      <c r="C141" s="627"/>
      <c r="D141" s="627"/>
      <c r="E141" s="628">
        <f>I10*0.2</f>
        <v>199.60000000000002</v>
      </c>
      <c r="F141" s="629"/>
      <c r="H141" s="260" t="s">
        <v>514</v>
      </c>
      <c r="I141" s="590">
        <f>0.2*I10</f>
        <v>199.60000000000002</v>
      </c>
      <c r="J141" s="591"/>
    </row>
    <row r="142" spans="1:15" s="245" customFormat="1" x14ac:dyDescent="0.2">
      <c r="A142" s="634" t="s">
        <v>230</v>
      </c>
      <c r="B142" s="635"/>
      <c r="C142" s="635"/>
      <c r="D142" s="635"/>
      <c r="E142" s="590">
        <f>8*E140/220*2</f>
        <v>178.24325245186688</v>
      </c>
      <c r="F142" s="591"/>
      <c r="H142" s="241" t="s">
        <v>230</v>
      </c>
      <c r="I142" s="590">
        <f>8*I140/220*2</f>
        <v>101.97124331011202</v>
      </c>
      <c r="J142" s="591"/>
    </row>
    <row r="143" spans="1:15" s="245" customFormat="1" x14ac:dyDescent="0.2">
      <c r="A143" s="626" t="s">
        <v>220</v>
      </c>
      <c r="B143" s="627"/>
      <c r="C143" s="627"/>
      <c r="D143" s="627"/>
      <c r="E143" s="628" t="s">
        <v>365</v>
      </c>
      <c r="F143" s="629"/>
      <c r="G143" s="266"/>
      <c r="H143" s="260" t="s">
        <v>220</v>
      </c>
      <c r="I143" s="590">
        <f>I140*0.1</f>
        <v>140.21045955140403</v>
      </c>
      <c r="J143" s="591"/>
    </row>
    <row r="144" spans="1:15" s="245" customFormat="1" x14ac:dyDescent="0.2">
      <c r="A144" s="626" t="s">
        <v>225</v>
      </c>
      <c r="B144" s="627"/>
      <c r="C144" s="627"/>
      <c r="D144" s="627"/>
      <c r="E144" s="628" t="s">
        <v>365</v>
      </c>
      <c r="F144" s="629"/>
      <c r="H144" s="260" t="s">
        <v>225</v>
      </c>
      <c r="I144" s="628">
        <f>SUM(I140*20/100)</f>
        <v>280.42091910280806</v>
      </c>
      <c r="J144" s="629"/>
    </row>
    <row r="145" spans="1:12" s="245" customFormat="1" x14ac:dyDescent="0.2">
      <c r="A145" s="651" t="s">
        <v>17</v>
      </c>
      <c r="B145" s="652"/>
      <c r="C145" s="652"/>
      <c r="D145" s="652"/>
      <c r="E145" s="653">
        <f>SUM(E140:F144)</f>
        <v>2828.6879736650362</v>
      </c>
      <c r="F145" s="654"/>
      <c r="H145" s="267" t="s">
        <v>17</v>
      </c>
      <c r="I145" s="676">
        <f>SUM(I140:J144)</f>
        <v>2124.3072174783642</v>
      </c>
      <c r="J145" s="677"/>
    </row>
    <row r="146" spans="1:12" s="245" customFormat="1" x14ac:dyDescent="0.2">
      <c r="A146" s="626" t="s">
        <v>221</v>
      </c>
      <c r="B146" s="627"/>
      <c r="C146" s="627"/>
      <c r="D146" s="627"/>
      <c r="E146" s="590">
        <f>E145*$I$9</f>
        <v>2059.6064603144914</v>
      </c>
      <c r="F146" s="591"/>
      <c r="H146" s="260" t="s">
        <v>221</v>
      </c>
      <c r="I146" s="590">
        <f>I145*$I$9</f>
        <v>1546.7371832964286</v>
      </c>
      <c r="J146" s="591"/>
    </row>
    <row r="147" spans="1:12" s="245" customFormat="1" x14ac:dyDescent="0.2">
      <c r="A147" s="634" t="s">
        <v>222</v>
      </c>
      <c r="B147" s="635"/>
      <c r="C147" s="635"/>
      <c r="D147" s="635"/>
      <c r="E147" s="590">
        <f>E19</f>
        <v>390</v>
      </c>
      <c r="F147" s="591"/>
      <c r="H147" s="241" t="s">
        <v>222</v>
      </c>
      <c r="I147" s="590">
        <v>390</v>
      </c>
      <c r="J147" s="591"/>
    </row>
    <row r="148" spans="1:12" s="245" customFormat="1" x14ac:dyDescent="0.2">
      <c r="A148" s="634" t="s">
        <v>289</v>
      </c>
      <c r="B148" s="635"/>
      <c r="C148" s="635"/>
      <c r="D148" s="635"/>
      <c r="E148" s="590">
        <v>40.58</v>
      </c>
      <c r="F148" s="591"/>
      <c r="H148" s="241" t="s">
        <v>289</v>
      </c>
      <c r="I148" s="590">
        <v>40.58</v>
      </c>
      <c r="J148" s="591"/>
    </row>
    <row r="149" spans="1:12" s="245" customFormat="1" x14ac:dyDescent="0.2">
      <c r="A149" s="241" t="s">
        <v>509</v>
      </c>
      <c r="B149" s="261"/>
      <c r="C149" s="261"/>
      <c r="D149" s="261"/>
      <c r="E149" s="590">
        <f>130+10</f>
        <v>140</v>
      </c>
      <c r="F149" s="591"/>
      <c r="H149" s="241" t="s">
        <v>509</v>
      </c>
      <c r="I149" s="590">
        <f>E149</f>
        <v>140</v>
      </c>
      <c r="J149" s="591"/>
    </row>
    <row r="150" spans="1:12" s="245" customFormat="1" x14ac:dyDescent="0.2">
      <c r="A150" s="634" t="s">
        <v>229</v>
      </c>
      <c r="B150" s="635"/>
      <c r="C150" s="635"/>
      <c r="D150" s="635"/>
      <c r="E150" s="590">
        <f>E134</f>
        <v>823.33333333333337</v>
      </c>
      <c r="F150" s="591"/>
      <c r="H150" s="241" t="s">
        <v>229</v>
      </c>
      <c r="I150" s="590">
        <f>I134</f>
        <v>823.33333333333337</v>
      </c>
      <c r="J150" s="591"/>
    </row>
    <row r="151" spans="1:12" s="245" customFormat="1" x14ac:dyDescent="0.2">
      <c r="A151" s="634" t="s">
        <v>29</v>
      </c>
      <c r="B151" s="635"/>
      <c r="C151" s="635"/>
      <c r="D151" s="635"/>
      <c r="E151" s="959">
        <f>SUM(E140*0.7/12)</f>
        <v>142.96594207076822</v>
      </c>
      <c r="F151" s="960"/>
      <c r="H151" s="241" t="s">
        <v>29</v>
      </c>
      <c r="I151" s="959">
        <f>SUM(I140*0.7/12)</f>
        <v>81.789434738319002</v>
      </c>
      <c r="J151" s="960"/>
    </row>
    <row r="152" spans="1:12" s="245" customFormat="1" ht="13.5" thickBot="1" x14ac:dyDescent="0.25">
      <c r="A152" s="647" t="s">
        <v>223</v>
      </c>
      <c r="B152" s="648"/>
      <c r="C152" s="648"/>
      <c r="D152" s="648"/>
      <c r="E152" s="592">
        <f>SUM(E145:F151)</f>
        <v>6425.1737093836291</v>
      </c>
      <c r="F152" s="593"/>
      <c r="H152" s="263" t="s">
        <v>223</v>
      </c>
      <c r="I152" s="592">
        <f>SUM(I145:J151)</f>
        <v>5146.7471688464448</v>
      </c>
      <c r="J152" s="593"/>
    </row>
    <row r="153" spans="1:12" s="245" customFormat="1" ht="13.5" thickBot="1" x14ac:dyDescent="0.25">
      <c r="A153" s="681" t="s">
        <v>276</v>
      </c>
      <c r="B153" s="682"/>
      <c r="C153" s="682"/>
      <c r="D153" s="682"/>
      <c r="E153" s="679">
        <f>SUM(E152*'Lote 01 - P1-UTMB ASA SUL '!E273)</f>
        <v>6425.1737093836291</v>
      </c>
      <c r="F153" s="680"/>
      <c r="H153" s="268" t="s">
        <v>402</v>
      </c>
      <c r="I153" s="679">
        <f>I152*'Lote 01 - P1-UTMB ASA SUL '!E258</f>
        <v>5146.7471688464448</v>
      </c>
      <c r="J153" s="680"/>
    </row>
    <row r="154" spans="1:12" s="245" customFormat="1" ht="13.5" thickBot="1" x14ac:dyDescent="0.25">
      <c r="A154" s="530"/>
      <c r="B154" s="531"/>
      <c r="C154" s="531"/>
      <c r="D154" s="531"/>
      <c r="E154" s="532"/>
      <c r="F154" s="532"/>
      <c r="H154" s="533"/>
      <c r="I154" s="534"/>
      <c r="J154" s="535"/>
    </row>
    <row r="155" spans="1:12" s="315" customFormat="1" ht="13.5" thickBot="1" x14ac:dyDescent="0.25">
      <c r="A155" s="663" t="s">
        <v>277</v>
      </c>
      <c r="B155" s="664"/>
      <c r="C155" s="664"/>
      <c r="D155" s="664"/>
      <c r="E155" s="664"/>
      <c r="F155" s="664"/>
      <c r="G155" s="664"/>
      <c r="H155" s="664"/>
      <c r="I155" s="659">
        <f>E153</f>
        <v>6425.1737093836291</v>
      </c>
      <c r="J155" s="660"/>
    </row>
    <row r="156" spans="1:12" s="245" customFormat="1" ht="21" customHeight="1" thickTop="1" x14ac:dyDescent="0.2">
      <c r="A156" s="686" t="s">
        <v>257</v>
      </c>
      <c r="B156" s="686"/>
      <c r="C156" s="686"/>
      <c r="D156" s="686"/>
      <c r="E156" s="686"/>
      <c r="F156" s="686"/>
      <c r="G156" s="686"/>
      <c r="H156" s="686"/>
      <c r="I156" s="687">
        <f>I155+I138+I122+I106+I90+I74+I58+I42+I26+I153</f>
        <v>209116.44424168192</v>
      </c>
      <c r="J156" s="687"/>
      <c r="L156" s="266"/>
    </row>
    <row r="157" spans="1:12" s="245" customFormat="1" x14ac:dyDescent="0.2"/>
    <row r="158" spans="1:12" s="245" customFormat="1" hidden="1" x14ac:dyDescent="0.2">
      <c r="A158" s="576" t="s">
        <v>19</v>
      </c>
      <c r="B158" s="576"/>
      <c r="C158" s="576"/>
      <c r="D158" s="576"/>
      <c r="E158" s="576"/>
      <c r="F158" s="576"/>
      <c r="G158" s="576"/>
      <c r="H158" s="576"/>
      <c r="I158" s="576"/>
      <c r="J158" s="576"/>
    </row>
    <row r="159" spans="1:12" s="245" customFormat="1" hidden="1" x14ac:dyDescent="0.2"/>
    <row r="160" spans="1:12" s="245" customFormat="1" hidden="1" x14ac:dyDescent="0.2"/>
    <row r="161" spans="1:10" s="245" customFormat="1" x14ac:dyDescent="0.2">
      <c r="A161" s="576" t="s">
        <v>20</v>
      </c>
      <c r="B161" s="576"/>
      <c r="C161" s="576"/>
      <c r="D161" s="576"/>
      <c r="E161" s="576"/>
      <c r="F161" s="576"/>
      <c r="G161" s="576"/>
      <c r="H161" s="576"/>
      <c r="I161" s="576"/>
      <c r="J161" s="576"/>
    </row>
    <row r="162" spans="1:10" s="245" customFormat="1" x14ac:dyDescent="0.2"/>
    <row r="163" spans="1:10" s="245" customFormat="1" x14ac:dyDescent="0.2">
      <c r="A163" s="580" t="s">
        <v>280</v>
      </c>
      <c r="B163" s="580"/>
      <c r="C163" s="580"/>
      <c r="D163" s="580"/>
      <c r="E163" s="580"/>
      <c r="F163" s="580"/>
      <c r="G163" s="580"/>
      <c r="H163" s="580"/>
    </row>
    <row r="164" spans="1:10" s="245" customFormat="1" x14ac:dyDescent="0.2">
      <c r="A164" s="587" t="s">
        <v>0</v>
      </c>
      <c r="B164" s="588"/>
      <c r="C164" s="589"/>
      <c r="D164" s="108" t="s">
        <v>1</v>
      </c>
      <c r="E164" s="108" t="s">
        <v>2</v>
      </c>
      <c r="F164" s="587" t="s">
        <v>125</v>
      </c>
      <c r="G164" s="589"/>
      <c r="H164" s="108" t="s">
        <v>86</v>
      </c>
    </row>
    <row r="165" spans="1:10" s="245" customFormat="1" x14ac:dyDescent="0.2">
      <c r="A165" s="594" t="s">
        <v>90</v>
      </c>
      <c r="B165" s="595"/>
      <c r="C165" s="595"/>
      <c r="D165" s="106" t="s">
        <v>49</v>
      </c>
      <c r="E165" s="105">
        <v>1</v>
      </c>
      <c r="F165" s="962">
        <f>1500*'Lote 01 - P1-UTMB ASA SUL '!$J$17</f>
        <v>1521.45</v>
      </c>
      <c r="G165" s="963"/>
      <c r="H165" s="105">
        <f>ROUND(E165*F165,2)</f>
        <v>1521.45</v>
      </c>
    </row>
    <row r="166" spans="1:10" s="245" customFormat="1" x14ac:dyDescent="0.2">
      <c r="A166" s="594" t="s">
        <v>191</v>
      </c>
      <c r="B166" s="595"/>
      <c r="C166" s="595"/>
      <c r="D166" s="106" t="s">
        <v>49</v>
      </c>
      <c r="E166" s="105">
        <v>1</v>
      </c>
      <c r="F166" s="962">
        <f>19243.07*'Lote 01 - P1-UTMB ASA SUL '!$J$17</f>
        <v>19518.245900999998</v>
      </c>
      <c r="G166" s="963"/>
      <c r="H166" s="105">
        <f>ROUND(E166*F166,2)</f>
        <v>19518.25</v>
      </c>
    </row>
    <row r="167" spans="1:10" s="245" customFormat="1" x14ac:dyDescent="0.2">
      <c r="A167" s="584" t="s">
        <v>91</v>
      </c>
      <c r="B167" s="585"/>
      <c r="C167" s="586"/>
      <c r="D167" s="250"/>
      <c r="E167" s="269"/>
      <c r="F167" s="109"/>
      <c r="G167" s="110"/>
      <c r="H167" s="274">
        <f>SUM(H165:H166)</f>
        <v>21039.7</v>
      </c>
    </row>
    <row r="168" spans="1:10" s="245" customFormat="1" x14ac:dyDescent="0.2"/>
    <row r="169" spans="1:10" s="245" customFormat="1" x14ac:dyDescent="0.2">
      <c r="A169" s="580" t="s">
        <v>278</v>
      </c>
      <c r="B169" s="580"/>
      <c r="C169" s="580"/>
      <c r="D169" s="580"/>
      <c r="E169" s="580"/>
      <c r="F169" s="580"/>
      <c r="G169" s="580"/>
      <c r="H169" s="580"/>
    </row>
    <row r="170" spans="1:10" s="107" customFormat="1" x14ac:dyDescent="0.2">
      <c r="A170" s="581" t="s">
        <v>302</v>
      </c>
      <c r="B170" s="582"/>
      <c r="C170" s="582"/>
      <c r="D170" s="582"/>
      <c r="E170" s="582"/>
      <c r="F170" s="582"/>
      <c r="G170" s="582"/>
      <c r="H170" s="583"/>
    </row>
    <row r="171" spans="1:10" s="107" customFormat="1" ht="25.5" x14ac:dyDescent="0.2">
      <c r="A171" s="587" t="s">
        <v>27</v>
      </c>
      <c r="B171" s="588"/>
      <c r="C171" s="589"/>
      <c r="D171" s="243" t="s">
        <v>28</v>
      </c>
      <c r="E171" s="243" t="s">
        <v>99</v>
      </c>
      <c r="F171" s="103" t="s">
        <v>1</v>
      </c>
      <c r="G171" s="587" t="s">
        <v>86</v>
      </c>
      <c r="H171" s="589"/>
    </row>
    <row r="172" spans="1:10" s="107" customFormat="1" x14ac:dyDescent="0.2">
      <c r="A172" s="594" t="s">
        <v>35</v>
      </c>
      <c r="B172" s="595"/>
      <c r="C172" s="595"/>
      <c r="D172" s="958">
        <v>70.59</v>
      </c>
      <c r="E172" s="105">
        <f>3/12</f>
        <v>0.25</v>
      </c>
      <c r="F172" s="106" t="s">
        <v>100</v>
      </c>
      <c r="G172" s="596">
        <f t="shared" ref="G172:G180" si="0">ROUND(D172*E172,2)</f>
        <v>17.649999999999999</v>
      </c>
      <c r="H172" s="595"/>
    </row>
    <row r="173" spans="1:10" s="107" customFormat="1" x14ac:dyDescent="0.2">
      <c r="A173" s="594" t="s">
        <v>36</v>
      </c>
      <c r="B173" s="595"/>
      <c r="C173" s="595"/>
      <c r="D173" s="958">
        <v>53.28</v>
      </c>
      <c r="E173" s="105">
        <f>3/12</f>
        <v>0.25</v>
      </c>
      <c r="F173" s="106" t="s">
        <v>100</v>
      </c>
      <c r="G173" s="596">
        <f t="shared" si="0"/>
        <v>13.32</v>
      </c>
      <c r="H173" s="595"/>
    </row>
    <row r="174" spans="1:10" s="107" customFormat="1" x14ac:dyDescent="0.2">
      <c r="A174" s="594" t="s">
        <v>37</v>
      </c>
      <c r="B174" s="595"/>
      <c r="C174" s="595"/>
      <c r="D174" s="958">
        <v>28.9</v>
      </c>
      <c r="E174" s="105">
        <f>2/12</f>
        <v>0.16666666666666666</v>
      </c>
      <c r="F174" s="106" t="s">
        <v>101</v>
      </c>
      <c r="G174" s="596">
        <f t="shared" si="0"/>
        <v>4.82</v>
      </c>
      <c r="H174" s="595"/>
    </row>
    <row r="175" spans="1:10" s="107" customFormat="1" x14ac:dyDescent="0.2">
      <c r="A175" s="594" t="s">
        <v>38</v>
      </c>
      <c r="B175" s="595"/>
      <c r="C175" s="595"/>
      <c r="D175" s="958">
        <v>28.9</v>
      </c>
      <c r="E175" s="105"/>
      <c r="F175" s="106" t="s">
        <v>101</v>
      </c>
      <c r="G175" s="596">
        <f t="shared" si="0"/>
        <v>0</v>
      </c>
      <c r="H175" s="595"/>
      <c r="I175" s="961"/>
    </row>
    <row r="176" spans="1:10" s="107" customFormat="1" x14ac:dyDescent="0.2">
      <c r="A176" s="594" t="s">
        <v>39</v>
      </c>
      <c r="B176" s="595"/>
      <c r="C176" s="595"/>
      <c r="D176" s="958">
        <v>9.2899999999999991</v>
      </c>
      <c r="E176" s="105">
        <f>3/12</f>
        <v>0.25</v>
      </c>
      <c r="F176" s="106" t="s">
        <v>100</v>
      </c>
      <c r="G176" s="596">
        <f t="shared" si="0"/>
        <v>2.3199999999999998</v>
      </c>
      <c r="H176" s="595"/>
    </row>
    <row r="177" spans="1:12" s="107" customFormat="1" x14ac:dyDescent="0.2">
      <c r="A177" s="594" t="s">
        <v>40</v>
      </c>
      <c r="B177" s="595"/>
      <c r="C177" s="595"/>
      <c r="D177" s="958">
        <v>12.13</v>
      </c>
      <c r="E177" s="105">
        <f>2/12</f>
        <v>0.16666666666666666</v>
      </c>
      <c r="F177" s="106" t="s">
        <v>100</v>
      </c>
      <c r="G177" s="596">
        <f t="shared" si="0"/>
        <v>2.02</v>
      </c>
      <c r="H177" s="595"/>
    </row>
    <row r="178" spans="1:12" s="107" customFormat="1" x14ac:dyDescent="0.2">
      <c r="A178" s="594" t="s">
        <v>41</v>
      </c>
      <c r="B178" s="595"/>
      <c r="C178" s="595"/>
      <c r="D178" s="958">
        <v>7.38</v>
      </c>
      <c r="E178" s="105"/>
      <c r="F178" s="106" t="s">
        <v>101</v>
      </c>
      <c r="G178" s="596">
        <f t="shared" si="0"/>
        <v>0</v>
      </c>
      <c r="H178" s="595"/>
    </row>
    <row r="179" spans="1:12" s="107" customFormat="1" x14ac:dyDescent="0.2">
      <c r="A179" s="594" t="s">
        <v>42</v>
      </c>
      <c r="B179" s="595"/>
      <c r="C179" s="595"/>
      <c r="D179" s="958">
        <v>19.8</v>
      </c>
      <c r="E179" s="105"/>
      <c r="F179" s="106" t="s">
        <v>100</v>
      </c>
      <c r="G179" s="596">
        <f t="shared" si="0"/>
        <v>0</v>
      </c>
      <c r="H179" s="595"/>
    </row>
    <row r="180" spans="1:12" s="107" customFormat="1" x14ac:dyDescent="0.2">
      <c r="A180" s="594" t="s">
        <v>45</v>
      </c>
      <c r="B180" s="595"/>
      <c r="C180" s="595"/>
      <c r="D180" s="958">
        <v>4.1399999999999997</v>
      </c>
      <c r="E180" s="105"/>
      <c r="F180" s="106" t="s">
        <v>100</v>
      </c>
      <c r="G180" s="596">
        <f t="shared" si="0"/>
        <v>0</v>
      </c>
      <c r="H180" s="595"/>
    </row>
    <row r="181" spans="1:12" s="107" customFormat="1" x14ac:dyDescent="0.2">
      <c r="A181" s="594" t="s">
        <v>279</v>
      </c>
      <c r="B181" s="595"/>
      <c r="C181" s="595"/>
      <c r="D181" s="958">
        <v>13.73</v>
      </c>
      <c r="E181" s="105">
        <v>2</v>
      </c>
      <c r="F181" s="106" t="s">
        <v>100</v>
      </c>
      <c r="G181" s="596">
        <f>D181*E181</f>
        <v>27.46</v>
      </c>
      <c r="H181" s="595"/>
    </row>
    <row r="182" spans="1:12" s="107" customFormat="1" x14ac:dyDescent="0.2">
      <c r="A182" s="594" t="s">
        <v>44</v>
      </c>
      <c r="B182" s="595"/>
      <c r="C182" s="595"/>
      <c r="D182" s="958">
        <v>28.9</v>
      </c>
      <c r="E182" s="105"/>
      <c r="F182" s="106" t="s">
        <v>101</v>
      </c>
      <c r="G182" s="596">
        <f>ROUND(D182*E182,2)</f>
        <v>0</v>
      </c>
      <c r="H182" s="595"/>
    </row>
    <row r="183" spans="1:12" s="107" customFormat="1" x14ac:dyDescent="0.2">
      <c r="A183" s="250"/>
      <c r="B183" s="269"/>
      <c r="C183" s="110"/>
      <c r="D183" s="250"/>
      <c r="E183" s="269"/>
      <c r="F183" s="110"/>
      <c r="G183" s="597">
        <f>SUM(G172:G182)</f>
        <v>67.59</v>
      </c>
      <c r="H183" s="598"/>
    </row>
    <row r="184" spans="1:12" s="107" customFormat="1" x14ac:dyDescent="0.2">
      <c r="A184" s="587" t="s">
        <v>102</v>
      </c>
      <c r="B184" s="588"/>
      <c r="C184" s="589"/>
      <c r="D184" s="250"/>
      <c r="E184" s="269"/>
      <c r="F184" s="110"/>
      <c r="G184" s="599">
        <v>2</v>
      </c>
      <c r="H184" s="598"/>
    </row>
    <row r="185" spans="1:12" s="107" customFormat="1" x14ac:dyDescent="0.2">
      <c r="A185" s="584" t="s">
        <v>91</v>
      </c>
      <c r="B185" s="585"/>
      <c r="C185" s="586"/>
      <c r="D185" s="250"/>
      <c r="E185" s="269"/>
      <c r="F185" s="110"/>
      <c r="G185" s="600">
        <f>ROUND(G183*G184,2)</f>
        <v>135.18</v>
      </c>
      <c r="H185" s="598"/>
      <c r="I185" s="270"/>
      <c r="J185" s="270"/>
    </row>
    <row r="186" spans="1:12" s="107" customFormat="1" ht="8.25" customHeight="1" x14ac:dyDescent="0.2">
      <c r="A186" s="271"/>
      <c r="C186" s="271"/>
      <c r="D186" s="26"/>
      <c r="E186" s="271"/>
      <c r="F186" s="271"/>
      <c r="G186" s="272"/>
      <c r="H186" s="272"/>
      <c r="I186" s="271"/>
      <c r="J186" s="271"/>
      <c r="K186" s="26"/>
      <c r="L186" s="271"/>
    </row>
    <row r="187" spans="1:12" s="107" customFormat="1" x14ac:dyDescent="0.2">
      <c r="A187" s="581" t="s">
        <v>303</v>
      </c>
      <c r="B187" s="582"/>
      <c r="C187" s="582"/>
      <c r="D187" s="582"/>
      <c r="E187" s="582"/>
      <c r="F187" s="582"/>
      <c r="G187" s="582"/>
      <c r="H187" s="583"/>
    </row>
    <row r="188" spans="1:12" s="107" customFormat="1" ht="25.5" x14ac:dyDescent="0.2">
      <c r="A188" s="587" t="s">
        <v>27</v>
      </c>
      <c r="B188" s="588"/>
      <c r="C188" s="589"/>
      <c r="D188" s="243" t="s">
        <v>28</v>
      </c>
      <c r="E188" s="243" t="s">
        <v>99</v>
      </c>
      <c r="F188" s="103" t="s">
        <v>1</v>
      </c>
      <c r="G188" s="587" t="s">
        <v>86</v>
      </c>
      <c r="H188" s="589"/>
    </row>
    <row r="189" spans="1:12" s="107" customFormat="1" x14ac:dyDescent="0.2">
      <c r="A189" s="594" t="s">
        <v>35</v>
      </c>
      <c r="B189" s="595"/>
      <c r="C189" s="595"/>
      <c r="D189" s="958">
        <v>70.59</v>
      </c>
      <c r="E189" s="105">
        <f>3/12</f>
        <v>0.25</v>
      </c>
      <c r="F189" s="106" t="s">
        <v>100</v>
      </c>
      <c r="G189" s="596">
        <f t="shared" ref="G189:G197" si="1">ROUND(D189*E189,2)</f>
        <v>17.649999999999999</v>
      </c>
      <c r="H189" s="595"/>
    </row>
    <row r="190" spans="1:12" s="107" customFormat="1" x14ac:dyDescent="0.2">
      <c r="A190" s="594" t="s">
        <v>36</v>
      </c>
      <c r="B190" s="595"/>
      <c r="C190" s="595"/>
      <c r="D190" s="958">
        <v>53.28</v>
      </c>
      <c r="E190" s="105">
        <f>3/12</f>
        <v>0.25</v>
      </c>
      <c r="F190" s="106" t="s">
        <v>100</v>
      </c>
      <c r="G190" s="596">
        <f t="shared" si="1"/>
        <v>13.32</v>
      </c>
      <c r="H190" s="595"/>
    </row>
    <row r="191" spans="1:12" s="107" customFormat="1" x14ac:dyDescent="0.2">
      <c r="A191" s="594" t="s">
        <v>37</v>
      </c>
      <c r="B191" s="595"/>
      <c r="C191" s="595"/>
      <c r="D191" s="958">
        <v>28.9</v>
      </c>
      <c r="E191" s="105">
        <f>2/12</f>
        <v>0.16666666666666666</v>
      </c>
      <c r="F191" s="106" t="s">
        <v>101</v>
      </c>
      <c r="G191" s="596">
        <f t="shared" si="1"/>
        <v>4.82</v>
      </c>
      <c r="H191" s="595"/>
    </row>
    <row r="192" spans="1:12" s="107" customFormat="1" x14ac:dyDescent="0.2">
      <c r="A192" s="594" t="s">
        <v>38</v>
      </c>
      <c r="B192" s="595"/>
      <c r="C192" s="595"/>
      <c r="D192" s="958">
        <v>28.9</v>
      </c>
      <c r="E192" s="105"/>
      <c r="F192" s="106" t="s">
        <v>101</v>
      </c>
      <c r="G192" s="596">
        <f t="shared" si="1"/>
        <v>0</v>
      </c>
      <c r="H192" s="595"/>
    </row>
    <row r="193" spans="1:12" s="107" customFormat="1" x14ac:dyDescent="0.2">
      <c r="A193" s="594" t="s">
        <v>39</v>
      </c>
      <c r="B193" s="595"/>
      <c r="C193" s="595"/>
      <c r="D193" s="958">
        <v>9.2899999999999991</v>
      </c>
      <c r="E193" s="105">
        <f>3/12</f>
        <v>0.25</v>
      </c>
      <c r="F193" s="106" t="s">
        <v>100</v>
      </c>
      <c r="G193" s="596">
        <f t="shared" si="1"/>
        <v>2.3199999999999998</v>
      </c>
      <c r="H193" s="595"/>
    </row>
    <row r="194" spans="1:12" s="107" customFormat="1" x14ac:dyDescent="0.2">
      <c r="A194" s="594" t="s">
        <v>40</v>
      </c>
      <c r="B194" s="595"/>
      <c r="C194" s="595"/>
      <c r="D194" s="958">
        <v>12.13</v>
      </c>
      <c r="E194" s="105">
        <f>2/12</f>
        <v>0.16666666666666666</v>
      </c>
      <c r="F194" s="106" t="s">
        <v>100</v>
      </c>
      <c r="G194" s="596">
        <f t="shared" si="1"/>
        <v>2.02</v>
      </c>
      <c r="H194" s="595"/>
    </row>
    <row r="195" spans="1:12" s="107" customFormat="1" x14ac:dyDescent="0.2">
      <c r="A195" s="594" t="s">
        <v>41</v>
      </c>
      <c r="B195" s="595"/>
      <c r="C195" s="595"/>
      <c r="D195" s="958">
        <v>7.38</v>
      </c>
      <c r="E195" s="105"/>
      <c r="F195" s="106" t="s">
        <v>101</v>
      </c>
      <c r="G195" s="596">
        <f t="shared" si="1"/>
        <v>0</v>
      </c>
      <c r="H195" s="595"/>
    </row>
    <row r="196" spans="1:12" s="107" customFormat="1" x14ac:dyDescent="0.2">
      <c r="A196" s="594" t="s">
        <v>42</v>
      </c>
      <c r="B196" s="595"/>
      <c r="C196" s="595"/>
      <c r="D196" s="958">
        <v>19.8</v>
      </c>
      <c r="E196" s="105"/>
      <c r="F196" s="106" t="s">
        <v>100</v>
      </c>
      <c r="G196" s="596">
        <f t="shared" si="1"/>
        <v>0</v>
      </c>
      <c r="H196" s="595"/>
    </row>
    <row r="197" spans="1:12" s="107" customFormat="1" x14ac:dyDescent="0.2">
      <c r="A197" s="594" t="s">
        <v>45</v>
      </c>
      <c r="B197" s="595"/>
      <c r="C197" s="595"/>
      <c r="D197" s="958">
        <v>4.1399999999999997</v>
      </c>
      <c r="E197" s="105"/>
      <c r="F197" s="106" t="s">
        <v>100</v>
      </c>
      <c r="G197" s="596">
        <f t="shared" si="1"/>
        <v>0</v>
      </c>
      <c r="H197" s="595"/>
    </row>
    <row r="198" spans="1:12" s="107" customFormat="1" x14ac:dyDescent="0.2">
      <c r="A198" s="594" t="s">
        <v>279</v>
      </c>
      <c r="B198" s="595"/>
      <c r="C198" s="595"/>
      <c r="D198" s="958">
        <v>13.73</v>
      </c>
      <c r="E198" s="105">
        <v>2</v>
      </c>
      <c r="F198" s="106" t="s">
        <v>100</v>
      </c>
      <c r="G198" s="596">
        <f>D198*E198</f>
        <v>27.46</v>
      </c>
      <c r="H198" s="595"/>
    </row>
    <row r="199" spans="1:12" s="107" customFormat="1" x14ac:dyDescent="0.2">
      <c r="A199" s="594" t="s">
        <v>43</v>
      </c>
      <c r="B199" s="595"/>
      <c r="C199" s="595"/>
      <c r="D199" s="958">
        <v>28.9</v>
      </c>
      <c r="E199" s="105">
        <f>1/12</f>
        <v>8.3333333333333329E-2</v>
      </c>
      <c r="F199" s="106" t="s">
        <v>101</v>
      </c>
      <c r="G199" s="596">
        <f>ROUND(D199*E199,2)</f>
        <v>2.41</v>
      </c>
      <c r="H199" s="595"/>
    </row>
    <row r="200" spans="1:12" s="107" customFormat="1" x14ac:dyDescent="0.2">
      <c r="A200" s="250"/>
      <c r="B200" s="269"/>
      <c r="C200" s="110"/>
      <c r="D200" s="250"/>
      <c r="E200" s="269"/>
      <c r="F200" s="110"/>
      <c r="G200" s="597">
        <f>SUM(G189:G199)</f>
        <v>70</v>
      </c>
      <c r="H200" s="598"/>
    </row>
    <row r="201" spans="1:12" s="107" customFormat="1" x14ac:dyDescent="0.2">
      <c r="A201" s="587" t="s">
        <v>102</v>
      </c>
      <c r="B201" s="588"/>
      <c r="C201" s="589"/>
      <c r="D201" s="250"/>
      <c r="E201" s="269"/>
      <c r="F201" s="110"/>
      <c r="G201" s="599">
        <v>3</v>
      </c>
      <c r="H201" s="598"/>
    </row>
    <row r="202" spans="1:12" s="107" customFormat="1" x14ac:dyDescent="0.2">
      <c r="A202" s="584" t="s">
        <v>91</v>
      </c>
      <c r="B202" s="585"/>
      <c r="C202" s="586"/>
      <c r="D202" s="250"/>
      <c r="E202" s="269"/>
      <c r="F202" s="110"/>
      <c r="G202" s="600">
        <f>ROUND(G200*G201,2)</f>
        <v>210</v>
      </c>
      <c r="H202" s="598"/>
      <c r="I202" s="270"/>
      <c r="J202" s="270"/>
    </row>
    <row r="203" spans="1:12" s="107" customFormat="1" ht="8.25" customHeight="1" x14ac:dyDescent="0.2">
      <c r="A203" s="271"/>
      <c r="C203" s="271"/>
      <c r="D203" s="26"/>
      <c r="E203" s="271"/>
      <c r="F203" s="271"/>
      <c r="G203" s="272"/>
      <c r="H203" s="272"/>
      <c r="I203" s="271"/>
      <c r="J203" s="271"/>
      <c r="K203" s="26"/>
      <c r="L203" s="271"/>
    </row>
    <row r="204" spans="1:12" s="107" customFormat="1" x14ac:dyDescent="0.2">
      <c r="A204" s="581" t="s">
        <v>304</v>
      </c>
      <c r="B204" s="582"/>
      <c r="C204" s="582"/>
      <c r="D204" s="582"/>
      <c r="E204" s="582"/>
      <c r="F204" s="582"/>
      <c r="G204" s="582"/>
      <c r="H204" s="583"/>
    </row>
    <row r="205" spans="1:12" s="107" customFormat="1" ht="25.5" x14ac:dyDescent="0.2">
      <c r="A205" s="587" t="s">
        <v>27</v>
      </c>
      <c r="B205" s="588"/>
      <c r="C205" s="589"/>
      <c r="D205" s="243" t="s">
        <v>28</v>
      </c>
      <c r="E205" s="243" t="s">
        <v>99</v>
      </c>
      <c r="F205" s="103" t="s">
        <v>1</v>
      </c>
      <c r="G205" s="587" t="s">
        <v>86</v>
      </c>
      <c r="H205" s="589"/>
    </row>
    <row r="206" spans="1:12" s="107" customFormat="1" x14ac:dyDescent="0.2">
      <c r="A206" s="594" t="s">
        <v>35</v>
      </c>
      <c r="B206" s="595"/>
      <c r="C206" s="595"/>
      <c r="D206" s="958">
        <v>70.59</v>
      </c>
      <c r="E206" s="105">
        <f>4/12</f>
        <v>0.33333333333333331</v>
      </c>
      <c r="F206" s="106" t="s">
        <v>100</v>
      </c>
      <c r="G206" s="596">
        <f t="shared" ref="G206:G214" si="2">ROUND(D206*E206,2)</f>
        <v>23.53</v>
      </c>
      <c r="H206" s="595"/>
    </row>
    <row r="207" spans="1:12" s="107" customFormat="1" x14ac:dyDescent="0.2">
      <c r="A207" s="594" t="s">
        <v>36</v>
      </c>
      <c r="B207" s="595"/>
      <c r="C207" s="595"/>
      <c r="D207" s="958">
        <v>53.28</v>
      </c>
      <c r="E207" s="105">
        <f>4/12</f>
        <v>0.33333333333333331</v>
      </c>
      <c r="F207" s="106" t="s">
        <v>100</v>
      </c>
      <c r="G207" s="596">
        <f t="shared" si="2"/>
        <v>17.760000000000002</v>
      </c>
      <c r="H207" s="595"/>
    </row>
    <row r="208" spans="1:12" s="107" customFormat="1" x14ac:dyDescent="0.2">
      <c r="A208" s="594" t="s">
        <v>37</v>
      </c>
      <c r="B208" s="595"/>
      <c r="C208" s="595"/>
      <c r="D208" s="958">
        <v>28.9</v>
      </c>
      <c r="E208" s="105"/>
      <c r="F208" s="106" t="s">
        <v>101</v>
      </c>
      <c r="G208" s="596">
        <f t="shared" si="2"/>
        <v>0</v>
      </c>
      <c r="H208" s="595"/>
    </row>
    <row r="209" spans="1:12" s="107" customFormat="1" x14ac:dyDescent="0.2">
      <c r="A209" s="594" t="s">
        <v>38</v>
      </c>
      <c r="B209" s="595"/>
      <c r="C209" s="595"/>
      <c r="D209" s="958">
        <v>28.9</v>
      </c>
      <c r="E209" s="105"/>
      <c r="F209" s="106" t="s">
        <v>101</v>
      </c>
      <c r="G209" s="596">
        <f t="shared" si="2"/>
        <v>0</v>
      </c>
      <c r="H209" s="595"/>
    </row>
    <row r="210" spans="1:12" s="107" customFormat="1" x14ac:dyDescent="0.2">
      <c r="A210" s="594" t="s">
        <v>39</v>
      </c>
      <c r="B210" s="595"/>
      <c r="C210" s="595"/>
      <c r="D210" s="958">
        <v>9.2899999999999991</v>
      </c>
      <c r="E210" s="105">
        <f>3/12</f>
        <v>0.25</v>
      </c>
      <c r="F210" s="106" t="s">
        <v>100</v>
      </c>
      <c r="G210" s="596">
        <f t="shared" si="2"/>
        <v>2.3199999999999998</v>
      </c>
      <c r="H210" s="595"/>
    </row>
    <row r="211" spans="1:12" s="107" customFormat="1" x14ac:dyDescent="0.2">
      <c r="A211" s="594" t="s">
        <v>40</v>
      </c>
      <c r="B211" s="595"/>
      <c r="C211" s="595"/>
      <c r="D211" s="958">
        <v>12.13</v>
      </c>
      <c r="E211" s="105">
        <f>2/12</f>
        <v>0.16666666666666666</v>
      </c>
      <c r="F211" s="106" t="s">
        <v>100</v>
      </c>
      <c r="G211" s="596">
        <f t="shared" si="2"/>
        <v>2.02</v>
      </c>
      <c r="H211" s="595"/>
    </row>
    <row r="212" spans="1:12" s="107" customFormat="1" x14ac:dyDescent="0.2">
      <c r="A212" s="594" t="s">
        <v>41</v>
      </c>
      <c r="B212" s="595"/>
      <c r="C212" s="595"/>
      <c r="D212" s="958">
        <v>7.38</v>
      </c>
      <c r="E212" s="105">
        <f>6/12</f>
        <v>0.5</v>
      </c>
      <c r="F212" s="106" t="s">
        <v>101</v>
      </c>
      <c r="G212" s="596">
        <f t="shared" si="2"/>
        <v>3.69</v>
      </c>
      <c r="H212" s="595"/>
    </row>
    <row r="213" spans="1:12" s="107" customFormat="1" x14ac:dyDescent="0.2">
      <c r="A213" s="594" t="s">
        <v>42</v>
      </c>
      <c r="B213" s="595"/>
      <c r="C213" s="595"/>
      <c r="D213" s="958">
        <v>19.8</v>
      </c>
      <c r="E213" s="105">
        <f>3/12</f>
        <v>0.25</v>
      </c>
      <c r="F213" s="106" t="s">
        <v>100</v>
      </c>
      <c r="G213" s="596">
        <f t="shared" si="2"/>
        <v>4.95</v>
      </c>
      <c r="H213" s="595"/>
    </row>
    <row r="214" spans="1:12" s="107" customFormat="1" x14ac:dyDescent="0.2">
      <c r="A214" s="594" t="s">
        <v>45</v>
      </c>
      <c r="B214" s="595"/>
      <c r="C214" s="595"/>
      <c r="D214" s="958">
        <v>4.1399999999999997</v>
      </c>
      <c r="E214" s="105"/>
      <c r="F214" s="106" t="s">
        <v>100</v>
      </c>
      <c r="G214" s="596">
        <f t="shared" si="2"/>
        <v>0</v>
      </c>
      <c r="H214" s="595"/>
    </row>
    <row r="215" spans="1:12" s="107" customFormat="1" x14ac:dyDescent="0.2">
      <c r="A215" s="594" t="s">
        <v>279</v>
      </c>
      <c r="B215" s="595"/>
      <c r="C215" s="595"/>
      <c r="D215" s="958">
        <v>13.73</v>
      </c>
      <c r="E215" s="105">
        <v>2</v>
      </c>
      <c r="F215" s="106" t="s">
        <v>100</v>
      </c>
      <c r="G215" s="596">
        <f>D215*E215</f>
        <v>27.46</v>
      </c>
      <c r="H215" s="595"/>
    </row>
    <row r="216" spans="1:12" s="107" customFormat="1" x14ac:dyDescent="0.2">
      <c r="A216" s="594" t="s">
        <v>44</v>
      </c>
      <c r="B216" s="595"/>
      <c r="C216" s="595"/>
      <c r="D216" s="958">
        <v>28.9</v>
      </c>
      <c r="E216" s="105">
        <f>4/12</f>
        <v>0.33333333333333331</v>
      </c>
      <c r="F216" s="106" t="s">
        <v>101</v>
      </c>
      <c r="G216" s="596">
        <f>ROUND(D216*E216,2)</f>
        <v>9.6300000000000008</v>
      </c>
      <c r="H216" s="595"/>
    </row>
    <row r="217" spans="1:12" s="107" customFormat="1" x14ac:dyDescent="0.2">
      <c r="A217" s="250"/>
      <c r="B217" s="269"/>
      <c r="C217" s="110"/>
      <c r="D217" s="250"/>
      <c r="E217" s="269"/>
      <c r="F217" s="110"/>
      <c r="G217" s="597">
        <f>SUM(G206:G216)</f>
        <v>91.360000000000014</v>
      </c>
      <c r="H217" s="598"/>
    </row>
    <row r="218" spans="1:12" s="107" customFormat="1" x14ac:dyDescent="0.2">
      <c r="A218" s="587" t="s">
        <v>102</v>
      </c>
      <c r="B218" s="588"/>
      <c r="C218" s="589"/>
      <c r="D218" s="250"/>
      <c r="E218" s="269"/>
      <c r="F218" s="110"/>
      <c r="G218" s="599">
        <v>12</v>
      </c>
      <c r="H218" s="598"/>
    </row>
    <row r="219" spans="1:12" s="107" customFormat="1" x14ac:dyDescent="0.2">
      <c r="A219" s="584" t="s">
        <v>91</v>
      </c>
      <c r="B219" s="585"/>
      <c r="C219" s="586"/>
      <c r="D219" s="250"/>
      <c r="E219" s="269"/>
      <c r="F219" s="110"/>
      <c r="G219" s="600">
        <f>ROUND(G217*G218,2)</f>
        <v>1096.32</v>
      </c>
      <c r="H219" s="598"/>
      <c r="I219" s="270"/>
      <c r="J219" s="270"/>
    </row>
    <row r="220" spans="1:12" s="107" customFormat="1" x14ac:dyDescent="0.2">
      <c r="A220" s="271"/>
      <c r="C220" s="271"/>
      <c r="D220" s="26"/>
      <c r="E220" s="271"/>
      <c r="F220" s="271"/>
      <c r="G220" s="272"/>
      <c r="H220" s="272"/>
      <c r="I220" s="271"/>
      <c r="J220" s="271"/>
      <c r="K220" s="26"/>
      <c r="L220" s="271"/>
    </row>
    <row r="221" spans="1:12" s="107" customFormat="1" x14ac:dyDescent="0.2">
      <c r="A221" s="581" t="s">
        <v>305</v>
      </c>
      <c r="B221" s="582"/>
      <c r="C221" s="582"/>
      <c r="D221" s="582"/>
      <c r="E221" s="582"/>
      <c r="F221" s="582"/>
      <c r="G221" s="582"/>
      <c r="H221" s="583"/>
    </row>
    <row r="222" spans="1:12" s="107" customFormat="1" ht="25.5" x14ac:dyDescent="0.2">
      <c r="A222" s="587" t="s">
        <v>27</v>
      </c>
      <c r="B222" s="588"/>
      <c r="C222" s="589"/>
      <c r="D222" s="243" t="s">
        <v>28</v>
      </c>
      <c r="E222" s="243" t="s">
        <v>99</v>
      </c>
      <c r="F222" s="103" t="s">
        <v>1</v>
      </c>
      <c r="G222" s="587" t="s">
        <v>86</v>
      </c>
      <c r="H222" s="589"/>
    </row>
    <row r="223" spans="1:12" s="107" customFormat="1" x14ac:dyDescent="0.2">
      <c r="A223" s="594" t="s">
        <v>35</v>
      </c>
      <c r="B223" s="595"/>
      <c r="C223" s="595"/>
      <c r="D223" s="958">
        <v>70.59</v>
      </c>
      <c r="E223" s="105">
        <f>4/12</f>
        <v>0.33333333333333331</v>
      </c>
      <c r="F223" s="106" t="s">
        <v>100</v>
      </c>
      <c r="G223" s="596">
        <f t="shared" ref="G223:G232" si="3">ROUND(D223*E223,2)</f>
        <v>23.53</v>
      </c>
      <c r="H223" s="595"/>
    </row>
    <row r="224" spans="1:12" s="107" customFormat="1" x14ac:dyDescent="0.2">
      <c r="A224" s="594" t="s">
        <v>36</v>
      </c>
      <c r="B224" s="595"/>
      <c r="C224" s="595"/>
      <c r="D224" s="958">
        <v>53.28</v>
      </c>
      <c r="E224" s="105">
        <f>4/12</f>
        <v>0.33333333333333331</v>
      </c>
      <c r="F224" s="106" t="s">
        <v>100</v>
      </c>
      <c r="G224" s="596">
        <f t="shared" si="3"/>
        <v>17.760000000000002</v>
      </c>
      <c r="H224" s="595"/>
    </row>
    <row r="225" spans="1:12" s="107" customFormat="1" x14ac:dyDescent="0.2">
      <c r="A225" s="594" t="s">
        <v>37</v>
      </c>
      <c r="B225" s="595"/>
      <c r="C225" s="595"/>
      <c r="D225" s="958">
        <v>28.9</v>
      </c>
      <c r="E225" s="105"/>
      <c r="F225" s="106" t="s">
        <v>101</v>
      </c>
      <c r="G225" s="596">
        <f t="shared" si="3"/>
        <v>0</v>
      </c>
      <c r="H225" s="595"/>
    </row>
    <row r="226" spans="1:12" s="107" customFormat="1" x14ac:dyDescent="0.2">
      <c r="A226" s="594" t="s">
        <v>38</v>
      </c>
      <c r="B226" s="595"/>
      <c r="C226" s="595"/>
      <c r="D226" s="958">
        <v>28.9</v>
      </c>
      <c r="E226" s="105"/>
      <c r="F226" s="106" t="s">
        <v>101</v>
      </c>
      <c r="G226" s="596">
        <f t="shared" si="3"/>
        <v>0</v>
      </c>
      <c r="H226" s="595"/>
    </row>
    <row r="227" spans="1:12" s="107" customFormat="1" x14ac:dyDescent="0.2">
      <c r="A227" s="594" t="s">
        <v>39</v>
      </c>
      <c r="B227" s="595"/>
      <c r="C227" s="595"/>
      <c r="D227" s="958">
        <v>9.2899999999999991</v>
      </c>
      <c r="E227" s="105">
        <f>3/12</f>
        <v>0.25</v>
      </c>
      <c r="F227" s="106" t="s">
        <v>100</v>
      </c>
      <c r="G227" s="596">
        <f t="shared" si="3"/>
        <v>2.3199999999999998</v>
      </c>
      <c r="H227" s="595"/>
    </row>
    <row r="228" spans="1:12" s="107" customFormat="1" x14ac:dyDescent="0.2">
      <c r="A228" s="594" t="s">
        <v>40</v>
      </c>
      <c r="B228" s="595"/>
      <c r="C228" s="595"/>
      <c r="D228" s="958">
        <v>12.13</v>
      </c>
      <c r="E228" s="105">
        <f>2/12</f>
        <v>0.16666666666666666</v>
      </c>
      <c r="F228" s="106" t="s">
        <v>100</v>
      </c>
      <c r="G228" s="596">
        <f t="shared" si="3"/>
        <v>2.02</v>
      </c>
      <c r="H228" s="595"/>
    </row>
    <row r="229" spans="1:12" s="107" customFormat="1" x14ac:dyDescent="0.2">
      <c r="A229" s="594" t="s">
        <v>41</v>
      </c>
      <c r="B229" s="595"/>
      <c r="C229" s="595"/>
      <c r="D229" s="958">
        <v>7.38</v>
      </c>
      <c r="E229" s="105">
        <f>6/12</f>
        <v>0.5</v>
      </c>
      <c r="F229" s="106" t="s">
        <v>101</v>
      </c>
      <c r="G229" s="596">
        <f t="shared" si="3"/>
        <v>3.69</v>
      </c>
      <c r="H229" s="595"/>
    </row>
    <row r="230" spans="1:12" s="107" customFormat="1" x14ac:dyDescent="0.2">
      <c r="A230" s="594" t="s">
        <v>42</v>
      </c>
      <c r="B230" s="595"/>
      <c r="C230" s="595"/>
      <c r="D230" s="958">
        <v>19.8</v>
      </c>
      <c r="E230" s="105">
        <f>3/12</f>
        <v>0.25</v>
      </c>
      <c r="F230" s="106" t="s">
        <v>100</v>
      </c>
      <c r="G230" s="596">
        <f t="shared" si="3"/>
        <v>4.95</v>
      </c>
      <c r="H230" s="595"/>
    </row>
    <row r="231" spans="1:12" s="107" customFormat="1" x14ac:dyDescent="0.2">
      <c r="A231" s="594" t="s">
        <v>45</v>
      </c>
      <c r="B231" s="595"/>
      <c r="C231" s="595"/>
      <c r="D231" s="958">
        <v>4.1399999999999997</v>
      </c>
      <c r="E231" s="105"/>
      <c r="F231" s="106" t="s">
        <v>100</v>
      </c>
      <c r="G231" s="596">
        <f t="shared" si="3"/>
        <v>0</v>
      </c>
      <c r="H231" s="595"/>
    </row>
    <row r="232" spans="1:12" s="107" customFormat="1" x14ac:dyDescent="0.2">
      <c r="A232" s="594" t="s">
        <v>44</v>
      </c>
      <c r="B232" s="595"/>
      <c r="C232" s="595"/>
      <c r="D232" s="958">
        <v>28.9</v>
      </c>
      <c r="E232" s="105">
        <f>4/12</f>
        <v>0.33333333333333331</v>
      </c>
      <c r="F232" s="106" t="s">
        <v>101</v>
      </c>
      <c r="G232" s="596">
        <f t="shared" si="3"/>
        <v>9.6300000000000008</v>
      </c>
      <c r="H232" s="595"/>
    </row>
    <row r="233" spans="1:12" s="107" customFormat="1" x14ac:dyDescent="0.2">
      <c r="A233" s="250"/>
      <c r="B233" s="269"/>
      <c r="C233" s="110"/>
      <c r="D233" s="250"/>
      <c r="E233" s="269"/>
      <c r="F233" s="110"/>
      <c r="G233" s="597">
        <f>SUM(G223:G232)</f>
        <v>63.900000000000013</v>
      </c>
      <c r="H233" s="598"/>
    </row>
    <row r="234" spans="1:12" s="107" customFormat="1" x14ac:dyDescent="0.2">
      <c r="A234" s="587" t="s">
        <v>102</v>
      </c>
      <c r="B234" s="588"/>
      <c r="C234" s="589"/>
      <c r="D234" s="250"/>
      <c r="E234" s="269"/>
      <c r="F234" s="110"/>
      <c r="G234" s="599">
        <v>4</v>
      </c>
      <c r="H234" s="598"/>
    </row>
    <row r="235" spans="1:12" s="107" customFormat="1" x14ac:dyDescent="0.2">
      <c r="A235" s="584" t="s">
        <v>91</v>
      </c>
      <c r="B235" s="585"/>
      <c r="C235" s="586"/>
      <c r="D235" s="250"/>
      <c r="E235" s="269"/>
      <c r="F235" s="110"/>
      <c r="G235" s="600">
        <f>ROUND(G233*G234,2)</f>
        <v>255.6</v>
      </c>
      <c r="H235" s="598"/>
      <c r="I235" s="270"/>
      <c r="J235" s="270"/>
    </row>
    <row r="236" spans="1:12" s="107" customFormat="1" x14ac:dyDescent="0.2">
      <c r="A236" s="271"/>
      <c r="C236" s="271"/>
      <c r="D236" s="26"/>
      <c r="E236" s="271"/>
      <c r="F236" s="271"/>
      <c r="G236" s="272"/>
      <c r="H236" s="272"/>
      <c r="I236" s="271"/>
      <c r="J236" s="271"/>
      <c r="K236" s="26"/>
      <c r="L236" s="271"/>
    </row>
    <row r="237" spans="1:12" s="107" customFormat="1" x14ac:dyDescent="0.2">
      <c r="A237" s="581" t="s">
        <v>306</v>
      </c>
      <c r="B237" s="582"/>
      <c r="C237" s="582"/>
      <c r="D237" s="582"/>
      <c r="E237" s="582"/>
      <c r="F237" s="582"/>
      <c r="G237" s="582"/>
      <c r="H237" s="583"/>
    </row>
    <row r="238" spans="1:12" s="107" customFormat="1" ht="25.5" x14ac:dyDescent="0.2">
      <c r="A238" s="587" t="s">
        <v>27</v>
      </c>
      <c r="B238" s="588"/>
      <c r="C238" s="589"/>
      <c r="D238" s="243" t="s">
        <v>28</v>
      </c>
      <c r="E238" s="243" t="s">
        <v>99</v>
      </c>
      <c r="F238" s="103" t="s">
        <v>1</v>
      </c>
      <c r="G238" s="587" t="s">
        <v>86</v>
      </c>
      <c r="H238" s="589"/>
    </row>
    <row r="239" spans="1:12" s="107" customFormat="1" x14ac:dyDescent="0.2">
      <c r="A239" s="594" t="s">
        <v>35</v>
      </c>
      <c r="B239" s="595"/>
      <c r="C239" s="595"/>
      <c r="D239" s="958">
        <v>70.59</v>
      </c>
      <c r="E239" s="105">
        <f>3/12</f>
        <v>0.25</v>
      </c>
      <c r="F239" s="106" t="s">
        <v>100</v>
      </c>
      <c r="G239" s="596">
        <f t="shared" ref="G239:G247" si="4">ROUND(D239*E239,2)</f>
        <v>17.649999999999999</v>
      </c>
      <c r="H239" s="595"/>
    </row>
    <row r="240" spans="1:12" s="107" customFormat="1" x14ac:dyDescent="0.2">
      <c r="A240" s="594" t="s">
        <v>36</v>
      </c>
      <c r="B240" s="595"/>
      <c r="C240" s="595"/>
      <c r="D240" s="958">
        <v>53.28</v>
      </c>
      <c r="E240" s="105">
        <f>3/12</f>
        <v>0.25</v>
      </c>
      <c r="F240" s="106" t="s">
        <v>100</v>
      </c>
      <c r="G240" s="596">
        <f t="shared" si="4"/>
        <v>13.32</v>
      </c>
      <c r="H240" s="595"/>
    </row>
    <row r="241" spans="1:12" s="107" customFormat="1" x14ac:dyDescent="0.2">
      <c r="A241" s="594" t="s">
        <v>37</v>
      </c>
      <c r="B241" s="595"/>
      <c r="C241" s="595"/>
      <c r="D241" s="958">
        <v>28.9</v>
      </c>
      <c r="E241" s="105">
        <f>2/12</f>
        <v>0.16666666666666666</v>
      </c>
      <c r="F241" s="106" t="s">
        <v>101</v>
      </c>
      <c r="G241" s="596">
        <f t="shared" si="4"/>
        <v>4.82</v>
      </c>
      <c r="H241" s="595"/>
    </row>
    <row r="242" spans="1:12" s="107" customFormat="1" x14ac:dyDescent="0.2">
      <c r="A242" s="594" t="s">
        <v>38</v>
      </c>
      <c r="B242" s="595"/>
      <c r="C242" s="595"/>
      <c r="D242" s="958">
        <v>28.9</v>
      </c>
      <c r="E242" s="105"/>
      <c r="F242" s="106" t="s">
        <v>101</v>
      </c>
      <c r="G242" s="596">
        <f t="shared" si="4"/>
        <v>0</v>
      </c>
      <c r="H242" s="595"/>
    </row>
    <row r="243" spans="1:12" s="107" customFormat="1" x14ac:dyDescent="0.2">
      <c r="A243" s="594" t="s">
        <v>39</v>
      </c>
      <c r="B243" s="595"/>
      <c r="C243" s="595"/>
      <c r="D243" s="958">
        <v>9.2899999999999991</v>
      </c>
      <c r="E243" s="105">
        <f>3/12</f>
        <v>0.25</v>
      </c>
      <c r="F243" s="106" t="s">
        <v>100</v>
      </c>
      <c r="G243" s="596">
        <f t="shared" si="4"/>
        <v>2.3199999999999998</v>
      </c>
      <c r="H243" s="595"/>
    </row>
    <row r="244" spans="1:12" s="107" customFormat="1" x14ac:dyDescent="0.2">
      <c r="A244" s="594" t="s">
        <v>40</v>
      </c>
      <c r="B244" s="595"/>
      <c r="C244" s="595"/>
      <c r="D244" s="958">
        <v>12.13</v>
      </c>
      <c r="E244" s="105">
        <f>2/12</f>
        <v>0.16666666666666666</v>
      </c>
      <c r="F244" s="106" t="s">
        <v>100</v>
      </c>
      <c r="G244" s="596">
        <f t="shared" si="4"/>
        <v>2.02</v>
      </c>
      <c r="H244" s="595"/>
    </row>
    <row r="245" spans="1:12" s="107" customFormat="1" x14ac:dyDescent="0.2">
      <c r="A245" s="594" t="s">
        <v>41</v>
      </c>
      <c r="B245" s="595"/>
      <c r="C245" s="595"/>
      <c r="D245" s="958">
        <v>7.38</v>
      </c>
      <c r="E245" s="105"/>
      <c r="F245" s="106" t="s">
        <v>101</v>
      </c>
      <c r="G245" s="596">
        <f t="shared" si="4"/>
        <v>0</v>
      </c>
      <c r="H245" s="595"/>
    </row>
    <row r="246" spans="1:12" s="107" customFormat="1" x14ac:dyDescent="0.2">
      <c r="A246" s="594" t="s">
        <v>42</v>
      </c>
      <c r="B246" s="595"/>
      <c r="C246" s="595"/>
      <c r="D246" s="958">
        <v>19.8</v>
      </c>
      <c r="E246" s="105"/>
      <c r="F246" s="106" t="s">
        <v>100</v>
      </c>
      <c r="G246" s="596">
        <f t="shared" si="4"/>
        <v>0</v>
      </c>
      <c r="H246" s="595"/>
    </row>
    <row r="247" spans="1:12" s="107" customFormat="1" x14ac:dyDescent="0.2">
      <c r="A247" s="594" t="s">
        <v>45</v>
      </c>
      <c r="B247" s="595"/>
      <c r="C247" s="595"/>
      <c r="D247" s="958">
        <v>4.1399999999999997</v>
      </c>
      <c r="E247" s="105"/>
      <c r="F247" s="106" t="s">
        <v>100</v>
      </c>
      <c r="G247" s="596">
        <f t="shared" si="4"/>
        <v>0</v>
      </c>
      <c r="H247" s="595"/>
    </row>
    <row r="248" spans="1:12" s="107" customFormat="1" x14ac:dyDescent="0.2">
      <c r="A248" s="594" t="s">
        <v>279</v>
      </c>
      <c r="B248" s="595"/>
      <c r="C248" s="595"/>
      <c r="D248" s="958">
        <v>13.73</v>
      </c>
      <c r="E248" s="105">
        <v>2</v>
      </c>
      <c r="F248" s="106" t="s">
        <v>100</v>
      </c>
      <c r="G248" s="596">
        <f>D248*E248</f>
        <v>27.46</v>
      </c>
      <c r="H248" s="595"/>
    </row>
    <row r="249" spans="1:12" s="107" customFormat="1" x14ac:dyDescent="0.2">
      <c r="A249" s="594" t="s">
        <v>44</v>
      </c>
      <c r="B249" s="595"/>
      <c r="C249" s="595"/>
      <c r="D249" s="958">
        <v>28.9</v>
      </c>
      <c r="E249" s="105"/>
      <c r="F249" s="106" t="s">
        <v>101</v>
      </c>
      <c r="G249" s="596">
        <f>ROUND(D249*E249,2)</f>
        <v>0</v>
      </c>
      <c r="H249" s="595"/>
    </row>
    <row r="250" spans="1:12" s="107" customFormat="1" x14ac:dyDescent="0.2">
      <c r="A250" s="250"/>
      <c r="B250" s="269"/>
      <c r="C250" s="110"/>
      <c r="D250" s="250"/>
      <c r="E250" s="269"/>
      <c r="F250" s="110"/>
      <c r="G250" s="597">
        <f>SUM(G239:G249)</f>
        <v>67.59</v>
      </c>
      <c r="H250" s="598"/>
    </row>
    <row r="251" spans="1:12" s="107" customFormat="1" x14ac:dyDescent="0.2">
      <c r="A251" s="587" t="s">
        <v>102</v>
      </c>
      <c r="B251" s="588"/>
      <c r="C251" s="589"/>
      <c r="D251" s="250"/>
      <c r="E251" s="269"/>
      <c r="F251" s="110"/>
      <c r="G251" s="599">
        <v>2</v>
      </c>
      <c r="H251" s="598"/>
    </row>
    <row r="252" spans="1:12" s="107" customFormat="1" x14ac:dyDescent="0.2">
      <c r="A252" s="584" t="s">
        <v>91</v>
      </c>
      <c r="B252" s="585"/>
      <c r="C252" s="586"/>
      <c r="D252" s="250"/>
      <c r="E252" s="269"/>
      <c r="F252" s="110"/>
      <c r="G252" s="600">
        <f>ROUND(G250*G251,2)</f>
        <v>135.18</v>
      </c>
      <c r="H252" s="598"/>
      <c r="I252" s="270"/>
      <c r="J252" s="270"/>
    </row>
    <row r="253" spans="1:12" s="107" customFormat="1" x14ac:dyDescent="0.2">
      <c r="A253" s="271"/>
      <c r="C253" s="271"/>
      <c r="D253" s="26"/>
      <c r="E253" s="271"/>
      <c r="F253" s="271"/>
      <c r="G253" s="272"/>
      <c r="H253" s="272"/>
      <c r="I253" s="271"/>
      <c r="J253" s="271"/>
      <c r="K253" s="26"/>
      <c r="L253" s="271"/>
    </row>
    <row r="254" spans="1:12" s="107" customFormat="1" x14ac:dyDescent="0.2">
      <c r="A254" s="581" t="s">
        <v>307</v>
      </c>
      <c r="B254" s="582"/>
      <c r="C254" s="582"/>
      <c r="D254" s="582"/>
      <c r="E254" s="582"/>
      <c r="F254" s="582"/>
      <c r="G254" s="582"/>
      <c r="H254" s="583"/>
    </row>
    <row r="255" spans="1:12" s="107" customFormat="1" ht="25.5" x14ac:dyDescent="0.2">
      <c r="A255" s="587" t="s">
        <v>27</v>
      </c>
      <c r="B255" s="588"/>
      <c r="C255" s="589"/>
      <c r="D255" s="243" t="s">
        <v>28</v>
      </c>
      <c r="E255" s="243" t="s">
        <v>99</v>
      </c>
      <c r="F255" s="103" t="s">
        <v>1</v>
      </c>
      <c r="G255" s="587" t="s">
        <v>86</v>
      </c>
      <c r="H255" s="589"/>
    </row>
    <row r="256" spans="1:12" s="107" customFormat="1" x14ac:dyDescent="0.2">
      <c r="A256" s="594" t="s">
        <v>35</v>
      </c>
      <c r="B256" s="595"/>
      <c r="C256" s="595"/>
      <c r="D256" s="958">
        <v>70.59</v>
      </c>
      <c r="E256" s="105">
        <f>3/12</f>
        <v>0.25</v>
      </c>
      <c r="F256" s="106" t="s">
        <v>100</v>
      </c>
      <c r="G256" s="596">
        <f t="shared" ref="G256:G265" si="5">ROUND(D256*E256,2)</f>
        <v>17.649999999999999</v>
      </c>
      <c r="H256" s="595"/>
    </row>
    <row r="257" spans="1:12" s="107" customFormat="1" x14ac:dyDescent="0.2">
      <c r="A257" s="594" t="s">
        <v>36</v>
      </c>
      <c r="B257" s="595"/>
      <c r="C257" s="595"/>
      <c r="D257" s="958">
        <v>53.28</v>
      </c>
      <c r="E257" s="105">
        <f>3/12</f>
        <v>0.25</v>
      </c>
      <c r="F257" s="106" t="s">
        <v>100</v>
      </c>
      <c r="G257" s="596">
        <f t="shared" si="5"/>
        <v>13.32</v>
      </c>
      <c r="H257" s="595"/>
    </row>
    <row r="258" spans="1:12" s="107" customFormat="1" x14ac:dyDescent="0.2">
      <c r="A258" s="594" t="s">
        <v>37</v>
      </c>
      <c r="B258" s="595"/>
      <c r="C258" s="595"/>
      <c r="D258" s="958">
        <v>28.9</v>
      </c>
      <c r="E258" s="105">
        <f>2/12</f>
        <v>0.16666666666666666</v>
      </c>
      <c r="F258" s="106" t="s">
        <v>101</v>
      </c>
      <c r="G258" s="596">
        <f t="shared" si="5"/>
        <v>4.82</v>
      </c>
      <c r="H258" s="595"/>
    </row>
    <row r="259" spans="1:12" s="107" customFormat="1" x14ac:dyDescent="0.2">
      <c r="A259" s="594" t="s">
        <v>38</v>
      </c>
      <c r="B259" s="595"/>
      <c r="C259" s="595"/>
      <c r="D259" s="958">
        <v>28.9</v>
      </c>
      <c r="E259" s="105"/>
      <c r="F259" s="106" t="s">
        <v>101</v>
      </c>
      <c r="G259" s="596">
        <f t="shared" si="5"/>
        <v>0</v>
      </c>
      <c r="H259" s="595"/>
    </row>
    <row r="260" spans="1:12" s="107" customFormat="1" x14ac:dyDescent="0.2">
      <c r="A260" s="594" t="s">
        <v>39</v>
      </c>
      <c r="B260" s="595"/>
      <c r="C260" s="595"/>
      <c r="D260" s="958">
        <v>9.2899999999999991</v>
      </c>
      <c r="E260" s="105">
        <f>3/12</f>
        <v>0.25</v>
      </c>
      <c r="F260" s="106" t="s">
        <v>100</v>
      </c>
      <c r="G260" s="596">
        <f t="shared" si="5"/>
        <v>2.3199999999999998</v>
      </c>
      <c r="H260" s="595"/>
    </row>
    <row r="261" spans="1:12" s="107" customFormat="1" x14ac:dyDescent="0.2">
      <c r="A261" s="594" t="s">
        <v>40</v>
      </c>
      <c r="B261" s="595"/>
      <c r="C261" s="595"/>
      <c r="D261" s="958">
        <v>12.13</v>
      </c>
      <c r="E261" s="105">
        <f>2/12</f>
        <v>0.16666666666666666</v>
      </c>
      <c r="F261" s="106" t="s">
        <v>100</v>
      </c>
      <c r="G261" s="596">
        <f t="shared" si="5"/>
        <v>2.02</v>
      </c>
      <c r="H261" s="595"/>
    </row>
    <row r="262" spans="1:12" s="107" customFormat="1" x14ac:dyDescent="0.2">
      <c r="A262" s="594" t="s">
        <v>41</v>
      </c>
      <c r="B262" s="595"/>
      <c r="C262" s="595"/>
      <c r="D262" s="958">
        <v>7.38</v>
      </c>
      <c r="E262" s="105"/>
      <c r="F262" s="106" t="s">
        <v>101</v>
      </c>
      <c r="G262" s="596">
        <f t="shared" si="5"/>
        <v>0</v>
      </c>
      <c r="H262" s="595"/>
    </row>
    <row r="263" spans="1:12" s="107" customFormat="1" x14ac:dyDescent="0.2">
      <c r="A263" s="594" t="s">
        <v>42</v>
      </c>
      <c r="B263" s="595"/>
      <c r="C263" s="595"/>
      <c r="D263" s="958">
        <v>19.8</v>
      </c>
      <c r="E263" s="105"/>
      <c r="F263" s="106" t="s">
        <v>100</v>
      </c>
      <c r="G263" s="596">
        <f t="shared" si="5"/>
        <v>0</v>
      </c>
      <c r="H263" s="595"/>
    </row>
    <row r="264" spans="1:12" s="107" customFormat="1" x14ac:dyDescent="0.2">
      <c r="A264" s="594" t="s">
        <v>45</v>
      </c>
      <c r="B264" s="595"/>
      <c r="C264" s="595"/>
      <c r="D264" s="958">
        <v>4.1399999999999997</v>
      </c>
      <c r="E264" s="105"/>
      <c r="F264" s="106" t="s">
        <v>100</v>
      </c>
      <c r="G264" s="596">
        <f t="shared" si="5"/>
        <v>0</v>
      </c>
      <c r="H264" s="595"/>
    </row>
    <row r="265" spans="1:12" s="107" customFormat="1" x14ac:dyDescent="0.2">
      <c r="A265" s="594" t="s">
        <v>44</v>
      </c>
      <c r="B265" s="595"/>
      <c r="C265" s="595"/>
      <c r="D265" s="958">
        <v>28.9</v>
      </c>
      <c r="E265" s="105"/>
      <c r="F265" s="106" t="s">
        <v>101</v>
      </c>
      <c r="G265" s="596">
        <f t="shared" si="5"/>
        <v>0</v>
      </c>
      <c r="H265" s="595"/>
    </row>
    <row r="266" spans="1:12" s="107" customFormat="1" x14ac:dyDescent="0.2">
      <c r="A266" s="250"/>
      <c r="B266" s="269"/>
      <c r="C266" s="110"/>
      <c r="D266" s="250"/>
      <c r="E266" s="269"/>
      <c r="F266" s="110"/>
      <c r="G266" s="597">
        <f>SUM(G256:G265)</f>
        <v>40.130000000000003</v>
      </c>
      <c r="H266" s="598"/>
    </row>
    <row r="267" spans="1:12" s="107" customFormat="1" x14ac:dyDescent="0.2">
      <c r="A267" s="587" t="s">
        <v>102</v>
      </c>
      <c r="B267" s="588"/>
      <c r="C267" s="589"/>
      <c r="D267" s="250"/>
      <c r="E267" s="269"/>
      <c r="F267" s="110"/>
      <c r="G267" s="599">
        <v>1</v>
      </c>
      <c r="H267" s="598"/>
    </row>
    <row r="268" spans="1:12" s="107" customFormat="1" x14ac:dyDescent="0.2">
      <c r="A268" s="584" t="s">
        <v>91</v>
      </c>
      <c r="B268" s="585"/>
      <c r="C268" s="586"/>
      <c r="D268" s="250"/>
      <c r="E268" s="269"/>
      <c r="F268" s="110"/>
      <c r="G268" s="600">
        <f>ROUND(G266*G267,2)</f>
        <v>40.130000000000003</v>
      </c>
      <c r="H268" s="598"/>
      <c r="I268" s="270"/>
      <c r="J268" s="270"/>
    </row>
    <row r="269" spans="1:12" s="107" customFormat="1" x14ac:dyDescent="0.2">
      <c r="A269" s="271"/>
      <c r="C269" s="271"/>
      <c r="D269" s="26"/>
      <c r="E269" s="271"/>
      <c r="F269" s="271"/>
      <c r="G269" s="272"/>
      <c r="H269" s="272"/>
      <c r="I269" s="271"/>
      <c r="J269" s="271"/>
      <c r="K269" s="26"/>
      <c r="L269" s="271"/>
    </row>
    <row r="270" spans="1:12" s="107" customFormat="1" x14ac:dyDescent="0.2">
      <c r="A270" s="581" t="s">
        <v>308</v>
      </c>
      <c r="B270" s="582"/>
      <c r="C270" s="582"/>
      <c r="D270" s="582"/>
      <c r="E270" s="582"/>
      <c r="F270" s="582"/>
      <c r="G270" s="582"/>
      <c r="H270" s="583"/>
    </row>
    <row r="271" spans="1:12" s="107" customFormat="1" ht="25.5" x14ac:dyDescent="0.2">
      <c r="A271" s="587" t="s">
        <v>27</v>
      </c>
      <c r="B271" s="588"/>
      <c r="C271" s="589"/>
      <c r="D271" s="243" t="s">
        <v>28</v>
      </c>
      <c r="E271" s="243" t="s">
        <v>99</v>
      </c>
      <c r="F271" s="103" t="s">
        <v>1</v>
      </c>
      <c r="G271" s="587" t="s">
        <v>86</v>
      </c>
      <c r="H271" s="589"/>
    </row>
    <row r="272" spans="1:12" s="107" customFormat="1" x14ac:dyDescent="0.2">
      <c r="A272" s="594" t="s">
        <v>35</v>
      </c>
      <c r="B272" s="595"/>
      <c r="C272" s="595"/>
      <c r="D272" s="958">
        <v>70.59</v>
      </c>
      <c r="E272" s="105">
        <f>3/12</f>
        <v>0.25</v>
      </c>
      <c r="F272" s="106" t="s">
        <v>100</v>
      </c>
      <c r="G272" s="596">
        <f t="shared" ref="G272:G280" si="6">ROUND(D272*E272,2)</f>
        <v>17.649999999999999</v>
      </c>
      <c r="H272" s="595"/>
    </row>
    <row r="273" spans="1:12" s="107" customFormat="1" x14ac:dyDescent="0.2">
      <c r="A273" s="594" t="s">
        <v>36</v>
      </c>
      <c r="B273" s="595"/>
      <c r="C273" s="595"/>
      <c r="D273" s="958">
        <v>53.28</v>
      </c>
      <c r="E273" s="105">
        <f>3/12</f>
        <v>0.25</v>
      </c>
      <c r="F273" s="106" t="s">
        <v>100</v>
      </c>
      <c r="G273" s="596">
        <f t="shared" si="6"/>
        <v>13.32</v>
      </c>
      <c r="H273" s="595"/>
    </row>
    <row r="274" spans="1:12" s="107" customFormat="1" x14ac:dyDescent="0.2">
      <c r="A274" s="594" t="s">
        <v>37</v>
      </c>
      <c r="B274" s="595"/>
      <c r="C274" s="595"/>
      <c r="D274" s="958">
        <v>28.9</v>
      </c>
      <c r="E274" s="105">
        <f>2/12</f>
        <v>0.16666666666666666</v>
      </c>
      <c r="F274" s="106" t="s">
        <v>101</v>
      </c>
      <c r="G274" s="596">
        <f t="shared" si="6"/>
        <v>4.82</v>
      </c>
      <c r="H274" s="595"/>
    </row>
    <row r="275" spans="1:12" s="107" customFormat="1" x14ac:dyDescent="0.2">
      <c r="A275" s="594" t="s">
        <v>38</v>
      </c>
      <c r="B275" s="595"/>
      <c r="C275" s="595"/>
      <c r="D275" s="958">
        <v>28.9</v>
      </c>
      <c r="E275" s="105"/>
      <c r="F275" s="106" t="s">
        <v>101</v>
      </c>
      <c r="G275" s="596">
        <f t="shared" si="6"/>
        <v>0</v>
      </c>
      <c r="H275" s="595"/>
    </row>
    <row r="276" spans="1:12" s="107" customFormat="1" x14ac:dyDescent="0.2">
      <c r="A276" s="594" t="s">
        <v>39</v>
      </c>
      <c r="B276" s="595"/>
      <c r="C276" s="595"/>
      <c r="D276" s="958">
        <v>9.2899999999999991</v>
      </c>
      <c r="E276" s="105">
        <f>3/12</f>
        <v>0.25</v>
      </c>
      <c r="F276" s="106" t="s">
        <v>100</v>
      </c>
      <c r="G276" s="596">
        <f t="shared" si="6"/>
        <v>2.3199999999999998</v>
      </c>
      <c r="H276" s="595"/>
    </row>
    <row r="277" spans="1:12" s="107" customFormat="1" x14ac:dyDescent="0.2">
      <c r="A277" s="594" t="s">
        <v>40</v>
      </c>
      <c r="B277" s="595"/>
      <c r="C277" s="595"/>
      <c r="D277" s="958">
        <v>12.13</v>
      </c>
      <c r="E277" s="105">
        <f>2/12</f>
        <v>0.16666666666666666</v>
      </c>
      <c r="F277" s="106" t="s">
        <v>100</v>
      </c>
      <c r="G277" s="596">
        <f t="shared" si="6"/>
        <v>2.02</v>
      </c>
      <c r="H277" s="595"/>
    </row>
    <row r="278" spans="1:12" s="107" customFormat="1" x14ac:dyDescent="0.2">
      <c r="A278" s="594" t="s">
        <v>41</v>
      </c>
      <c r="B278" s="595"/>
      <c r="C278" s="595"/>
      <c r="D278" s="958">
        <v>7.38</v>
      </c>
      <c r="E278" s="105"/>
      <c r="F278" s="106" t="s">
        <v>101</v>
      </c>
      <c r="G278" s="596">
        <f t="shared" si="6"/>
        <v>0</v>
      </c>
      <c r="H278" s="595"/>
    </row>
    <row r="279" spans="1:12" s="107" customFormat="1" x14ac:dyDescent="0.2">
      <c r="A279" s="594" t="s">
        <v>42</v>
      </c>
      <c r="B279" s="595"/>
      <c r="C279" s="595"/>
      <c r="D279" s="958">
        <v>19.8</v>
      </c>
      <c r="E279" s="105"/>
      <c r="F279" s="106" t="s">
        <v>100</v>
      </c>
      <c r="G279" s="596">
        <f t="shared" si="6"/>
        <v>0</v>
      </c>
      <c r="H279" s="595"/>
    </row>
    <row r="280" spans="1:12" s="107" customFormat="1" x14ac:dyDescent="0.2">
      <c r="A280" s="594" t="s">
        <v>45</v>
      </c>
      <c r="B280" s="595"/>
      <c r="C280" s="595"/>
      <c r="D280" s="958">
        <v>4.1399999999999997</v>
      </c>
      <c r="E280" s="105"/>
      <c r="F280" s="106" t="s">
        <v>100</v>
      </c>
      <c r="G280" s="596">
        <f t="shared" si="6"/>
        <v>0</v>
      </c>
      <c r="H280" s="595"/>
    </row>
    <row r="281" spans="1:12" s="107" customFormat="1" x14ac:dyDescent="0.2">
      <c r="A281" s="594" t="s">
        <v>279</v>
      </c>
      <c r="B281" s="595"/>
      <c r="C281" s="595"/>
      <c r="D281" s="958">
        <v>13.73</v>
      </c>
      <c r="E281" s="105">
        <v>2</v>
      </c>
      <c r="F281" s="106" t="s">
        <v>100</v>
      </c>
      <c r="G281" s="596">
        <f>D281*E281</f>
        <v>27.46</v>
      </c>
      <c r="H281" s="595"/>
    </row>
    <row r="282" spans="1:12" s="107" customFormat="1" x14ac:dyDescent="0.2">
      <c r="A282" s="594" t="s">
        <v>44</v>
      </c>
      <c r="B282" s="595"/>
      <c r="C282" s="595"/>
      <c r="D282" s="958">
        <v>28.9</v>
      </c>
      <c r="E282" s="105"/>
      <c r="F282" s="106" t="s">
        <v>101</v>
      </c>
      <c r="G282" s="596">
        <f>ROUND(D282*E282,2)</f>
        <v>0</v>
      </c>
      <c r="H282" s="595"/>
    </row>
    <row r="283" spans="1:12" s="107" customFormat="1" x14ac:dyDescent="0.2">
      <c r="A283" s="250"/>
      <c r="B283" s="269"/>
      <c r="C283" s="110"/>
      <c r="D283" s="250"/>
      <c r="E283" s="269"/>
      <c r="F283" s="110"/>
      <c r="G283" s="597">
        <f>SUM(G272:G282)</f>
        <v>67.59</v>
      </c>
      <c r="H283" s="598"/>
    </row>
    <row r="284" spans="1:12" s="107" customFormat="1" x14ac:dyDescent="0.2">
      <c r="A284" s="587" t="s">
        <v>102</v>
      </c>
      <c r="B284" s="588"/>
      <c r="C284" s="589"/>
      <c r="D284" s="250"/>
      <c r="E284" s="269"/>
      <c r="F284" s="110"/>
      <c r="G284" s="599">
        <v>1</v>
      </c>
      <c r="H284" s="598"/>
    </row>
    <row r="285" spans="1:12" s="107" customFormat="1" x14ac:dyDescent="0.2">
      <c r="A285" s="584" t="s">
        <v>91</v>
      </c>
      <c r="B285" s="585"/>
      <c r="C285" s="586"/>
      <c r="D285" s="250"/>
      <c r="E285" s="269"/>
      <c r="F285" s="110"/>
      <c r="G285" s="600">
        <f>ROUND(G283*G284,2)</f>
        <v>67.59</v>
      </c>
      <c r="H285" s="598"/>
      <c r="I285" s="270"/>
      <c r="J285" s="270"/>
    </row>
    <row r="286" spans="1:12" s="107" customFormat="1" x14ac:dyDescent="0.2">
      <c r="A286" s="271"/>
      <c r="C286" s="271"/>
      <c r="D286" s="26"/>
      <c r="E286" s="271"/>
      <c r="F286" s="271"/>
      <c r="G286" s="272"/>
      <c r="H286" s="272"/>
      <c r="I286" s="271"/>
      <c r="J286" s="271"/>
      <c r="K286" s="26"/>
      <c r="L286" s="271"/>
    </row>
    <row r="287" spans="1:12" s="107" customFormat="1" x14ac:dyDescent="0.2">
      <c r="A287" s="581" t="s">
        <v>309</v>
      </c>
      <c r="B287" s="582"/>
      <c r="C287" s="582"/>
      <c r="D287" s="582"/>
      <c r="E287" s="582"/>
      <c r="F287" s="582"/>
      <c r="G287" s="582"/>
      <c r="H287" s="583"/>
    </row>
    <row r="288" spans="1:12" s="107" customFormat="1" ht="25.5" x14ac:dyDescent="0.2">
      <c r="A288" s="587" t="s">
        <v>27</v>
      </c>
      <c r="B288" s="588"/>
      <c r="C288" s="589"/>
      <c r="D288" s="243" t="s">
        <v>28</v>
      </c>
      <c r="E288" s="243" t="s">
        <v>99</v>
      </c>
      <c r="F288" s="103" t="s">
        <v>1</v>
      </c>
      <c r="G288" s="587" t="s">
        <v>86</v>
      </c>
      <c r="H288" s="589"/>
    </row>
    <row r="289" spans="1:12" s="107" customFormat="1" x14ac:dyDescent="0.2">
      <c r="A289" s="594" t="s">
        <v>35</v>
      </c>
      <c r="B289" s="595"/>
      <c r="C289" s="595"/>
      <c r="D289" s="958">
        <v>70.59</v>
      </c>
      <c r="E289" s="105">
        <f>3/12</f>
        <v>0.25</v>
      </c>
      <c r="F289" s="106" t="s">
        <v>100</v>
      </c>
      <c r="G289" s="596">
        <f t="shared" ref="G289:G298" si="7">ROUND(D289*E289,2)</f>
        <v>17.649999999999999</v>
      </c>
      <c r="H289" s="595"/>
    </row>
    <row r="290" spans="1:12" s="107" customFormat="1" x14ac:dyDescent="0.2">
      <c r="A290" s="594" t="s">
        <v>36</v>
      </c>
      <c r="B290" s="595"/>
      <c r="C290" s="595"/>
      <c r="D290" s="958">
        <v>53.28</v>
      </c>
      <c r="E290" s="105">
        <f>3/12</f>
        <v>0.25</v>
      </c>
      <c r="F290" s="106" t="s">
        <v>100</v>
      </c>
      <c r="G290" s="596">
        <f t="shared" si="7"/>
        <v>13.32</v>
      </c>
      <c r="H290" s="595"/>
    </row>
    <row r="291" spans="1:12" s="107" customFormat="1" x14ac:dyDescent="0.2">
      <c r="A291" s="594" t="s">
        <v>37</v>
      </c>
      <c r="B291" s="595"/>
      <c r="C291" s="595"/>
      <c r="D291" s="958">
        <v>28.9</v>
      </c>
      <c r="E291" s="105">
        <f>2/12</f>
        <v>0.16666666666666666</v>
      </c>
      <c r="F291" s="106" t="s">
        <v>101</v>
      </c>
      <c r="G291" s="596">
        <f t="shared" si="7"/>
        <v>4.82</v>
      </c>
      <c r="H291" s="595"/>
    </row>
    <row r="292" spans="1:12" s="107" customFormat="1" x14ac:dyDescent="0.2">
      <c r="A292" s="594" t="s">
        <v>38</v>
      </c>
      <c r="B292" s="595"/>
      <c r="C292" s="595"/>
      <c r="D292" s="958">
        <v>28.9</v>
      </c>
      <c r="E292" s="105"/>
      <c r="F292" s="106" t="s">
        <v>101</v>
      </c>
      <c r="G292" s="596">
        <f t="shared" si="7"/>
        <v>0</v>
      </c>
      <c r="H292" s="595"/>
    </row>
    <row r="293" spans="1:12" s="107" customFormat="1" x14ac:dyDescent="0.2">
      <c r="A293" s="594" t="s">
        <v>39</v>
      </c>
      <c r="B293" s="595"/>
      <c r="C293" s="595"/>
      <c r="D293" s="958">
        <v>9.2899999999999991</v>
      </c>
      <c r="E293" s="105">
        <f>3/12</f>
        <v>0.25</v>
      </c>
      <c r="F293" s="106" t="s">
        <v>100</v>
      </c>
      <c r="G293" s="596">
        <f t="shared" si="7"/>
        <v>2.3199999999999998</v>
      </c>
      <c r="H293" s="595"/>
    </row>
    <row r="294" spans="1:12" s="107" customFormat="1" x14ac:dyDescent="0.2">
      <c r="A294" s="594" t="s">
        <v>40</v>
      </c>
      <c r="B294" s="595"/>
      <c r="C294" s="595"/>
      <c r="D294" s="958">
        <v>12.13</v>
      </c>
      <c r="E294" s="105">
        <f>2/12</f>
        <v>0.16666666666666666</v>
      </c>
      <c r="F294" s="106" t="s">
        <v>100</v>
      </c>
      <c r="G294" s="596">
        <f t="shared" si="7"/>
        <v>2.02</v>
      </c>
      <c r="H294" s="595"/>
    </row>
    <row r="295" spans="1:12" s="107" customFormat="1" x14ac:dyDescent="0.2">
      <c r="A295" s="594" t="s">
        <v>41</v>
      </c>
      <c r="B295" s="595"/>
      <c r="C295" s="595"/>
      <c r="D295" s="958">
        <v>7.38</v>
      </c>
      <c r="E295" s="105"/>
      <c r="F295" s="106" t="s">
        <v>101</v>
      </c>
      <c r="G295" s="596">
        <f t="shared" si="7"/>
        <v>0</v>
      </c>
      <c r="H295" s="595"/>
    </row>
    <row r="296" spans="1:12" s="107" customFormat="1" x14ac:dyDescent="0.2">
      <c r="A296" s="594" t="s">
        <v>42</v>
      </c>
      <c r="B296" s="595"/>
      <c r="C296" s="595"/>
      <c r="D296" s="958">
        <v>19.8</v>
      </c>
      <c r="E296" s="105"/>
      <c r="F296" s="106" t="s">
        <v>100</v>
      </c>
      <c r="G296" s="596">
        <f t="shared" si="7"/>
        <v>0</v>
      </c>
      <c r="H296" s="595"/>
    </row>
    <row r="297" spans="1:12" s="107" customFormat="1" x14ac:dyDescent="0.2">
      <c r="A297" s="594" t="s">
        <v>45</v>
      </c>
      <c r="B297" s="595"/>
      <c r="C297" s="595"/>
      <c r="D297" s="958">
        <v>4.1399999999999997</v>
      </c>
      <c r="E297" s="105"/>
      <c r="F297" s="106" t="s">
        <v>100</v>
      </c>
      <c r="G297" s="596">
        <f t="shared" si="7"/>
        <v>0</v>
      </c>
      <c r="H297" s="595"/>
    </row>
    <row r="298" spans="1:12" s="107" customFormat="1" x14ac:dyDescent="0.2">
      <c r="A298" s="594" t="s">
        <v>44</v>
      </c>
      <c r="B298" s="595"/>
      <c r="C298" s="595"/>
      <c r="D298" s="958">
        <v>28.9</v>
      </c>
      <c r="E298" s="105"/>
      <c r="F298" s="106" t="s">
        <v>101</v>
      </c>
      <c r="G298" s="596">
        <f t="shared" si="7"/>
        <v>0</v>
      </c>
      <c r="H298" s="595"/>
    </row>
    <row r="299" spans="1:12" s="107" customFormat="1" x14ac:dyDescent="0.2">
      <c r="A299" s="250"/>
      <c r="B299" s="269"/>
      <c r="C299" s="110"/>
      <c r="D299" s="250"/>
      <c r="E299" s="269"/>
      <c r="F299" s="110"/>
      <c r="G299" s="597">
        <f>SUM(G289:G298)</f>
        <v>40.130000000000003</v>
      </c>
      <c r="H299" s="598"/>
    </row>
    <row r="300" spans="1:12" s="107" customFormat="1" x14ac:dyDescent="0.2">
      <c r="A300" s="587" t="s">
        <v>102</v>
      </c>
      <c r="B300" s="588"/>
      <c r="C300" s="589"/>
      <c r="D300" s="250"/>
      <c r="E300" s="269"/>
      <c r="F300" s="110"/>
      <c r="G300" s="599">
        <v>1</v>
      </c>
      <c r="H300" s="598"/>
    </row>
    <row r="301" spans="1:12" s="107" customFormat="1" x14ac:dyDescent="0.2">
      <c r="A301" s="584" t="s">
        <v>91</v>
      </c>
      <c r="B301" s="585"/>
      <c r="C301" s="586"/>
      <c r="D301" s="250"/>
      <c r="E301" s="269"/>
      <c r="F301" s="110"/>
      <c r="G301" s="600">
        <f>ROUND(G299*G300,2)</f>
        <v>40.130000000000003</v>
      </c>
      <c r="H301" s="598"/>
      <c r="I301" s="270"/>
      <c r="J301" s="270"/>
    </row>
    <row r="302" spans="1:12" s="107" customFormat="1" x14ac:dyDescent="0.2">
      <c r="A302" s="271"/>
      <c r="C302" s="271"/>
      <c r="D302" s="26"/>
      <c r="E302" s="271"/>
      <c r="F302" s="271"/>
      <c r="G302" s="272"/>
      <c r="H302" s="272"/>
      <c r="I302" s="271"/>
      <c r="J302" s="271"/>
      <c r="K302" s="26"/>
      <c r="L302" s="271"/>
    </row>
    <row r="303" spans="1:12" s="107" customFormat="1" x14ac:dyDescent="0.2">
      <c r="A303" s="581" t="s">
        <v>310</v>
      </c>
      <c r="B303" s="582"/>
      <c r="C303" s="582"/>
      <c r="D303" s="582"/>
      <c r="E303" s="582"/>
      <c r="F303" s="582"/>
      <c r="G303" s="582"/>
      <c r="H303" s="583"/>
    </row>
    <row r="304" spans="1:12" s="107" customFormat="1" ht="25.5" x14ac:dyDescent="0.2">
      <c r="A304" s="587" t="s">
        <v>27</v>
      </c>
      <c r="B304" s="588"/>
      <c r="C304" s="589"/>
      <c r="D304" s="243" t="s">
        <v>28</v>
      </c>
      <c r="E304" s="243" t="s">
        <v>99</v>
      </c>
      <c r="F304" s="103" t="s">
        <v>1</v>
      </c>
      <c r="G304" s="587" t="s">
        <v>86</v>
      </c>
      <c r="H304" s="589"/>
    </row>
    <row r="305" spans="1:12" s="107" customFormat="1" x14ac:dyDescent="0.2">
      <c r="A305" s="594" t="s">
        <v>35</v>
      </c>
      <c r="B305" s="595"/>
      <c r="C305" s="595"/>
      <c r="D305" s="958">
        <v>70.59</v>
      </c>
      <c r="E305" s="105">
        <f>4/12</f>
        <v>0.33333333333333331</v>
      </c>
      <c r="F305" s="106" t="s">
        <v>100</v>
      </c>
      <c r="G305" s="596">
        <f t="shared" ref="G305:G313" si="8">ROUND(D305*E305,2)</f>
        <v>23.53</v>
      </c>
      <c r="H305" s="595"/>
    </row>
    <row r="306" spans="1:12" s="107" customFormat="1" x14ac:dyDescent="0.2">
      <c r="A306" s="594" t="s">
        <v>36</v>
      </c>
      <c r="B306" s="595"/>
      <c r="C306" s="595"/>
      <c r="D306" s="958">
        <v>53.28</v>
      </c>
      <c r="E306" s="105">
        <f>4/12</f>
        <v>0.33333333333333331</v>
      </c>
      <c r="F306" s="106" t="s">
        <v>100</v>
      </c>
      <c r="G306" s="596">
        <f t="shared" si="8"/>
        <v>17.760000000000002</v>
      </c>
      <c r="H306" s="595"/>
    </row>
    <row r="307" spans="1:12" s="107" customFormat="1" x14ac:dyDescent="0.2">
      <c r="A307" s="594" t="s">
        <v>37</v>
      </c>
      <c r="B307" s="595"/>
      <c r="C307" s="595"/>
      <c r="D307" s="958">
        <v>28.9</v>
      </c>
      <c r="E307" s="105"/>
      <c r="F307" s="106" t="s">
        <v>101</v>
      </c>
      <c r="G307" s="596">
        <f t="shared" si="8"/>
        <v>0</v>
      </c>
      <c r="H307" s="595"/>
    </row>
    <row r="308" spans="1:12" s="107" customFormat="1" x14ac:dyDescent="0.2">
      <c r="A308" s="594" t="s">
        <v>38</v>
      </c>
      <c r="B308" s="595"/>
      <c r="C308" s="595"/>
      <c r="D308" s="958">
        <v>28.9</v>
      </c>
      <c r="E308" s="105"/>
      <c r="F308" s="106" t="s">
        <v>101</v>
      </c>
      <c r="G308" s="596">
        <f t="shared" si="8"/>
        <v>0</v>
      </c>
      <c r="H308" s="595"/>
    </row>
    <row r="309" spans="1:12" s="107" customFormat="1" x14ac:dyDescent="0.2">
      <c r="A309" s="594" t="s">
        <v>39</v>
      </c>
      <c r="B309" s="595"/>
      <c r="C309" s="595"/>
      <c r="D309" s="958">
        <v>9.2899999999999991</v>
      </c>
      <c r="E309" s="105">
        <f>4/12</f>
        <v>0.33333333333333331</v>
      </c>
      <c r="F309" s="106" t="s">
        <v>100</v>
      </c>
      <c r="G309" s="596">
        <f t="shared" si="8"/>
        <v>3.1</v>
      </c>
      <c r="H309" s="595"/>
    </row>
    <row r="310" spans="1:12" s="107" customFormat="1" x14ac:dyDescent="0.2">
      <c r="A310" s="594" t="s">
        <v>40</v>
      </c>
      <c r="B310" s="595"/>
      <c r="C310" s="595"/>
      <c r="D310" s="958">
        <v>12.13</v>
      </c>
      <c r="E310" s="105">
        <f>3/12</f>
        <v>0.25</v>
      </c>
      <c r="F310" s="106" t="s">
        <v>100</v>
      </c>
      <c r="G310" s="596">
        <f t="shared" si="8"/>
        <v>3.03</v>
      </c>
      <c r="H310" s="595"/>
    </row>
    <row r="311" spans="1:12" s="107" customFormat="1" x14ac:dyDescent="0.2">
      <c r="A311" s="594" t="s">
        <v>41</v>
      </c>
      <c r="B311" s="595"/>
      <c r="C311" s="595"/>
      <c r="D311" s="958">
        <v>7.38</v>
      </c>
      <c r="E311" s="105">
        <f>6/12</f>
        <v>0.5</v>
      </c>
      <c r="F311" s="106" t="s">
        <v>101</v>
      </c>
      <c r="G311" s="596">
        <f t="shared" si="8"/>
        <v>3.69</v>
      </c>
      <c r="H311" s="595"/>
    </row>
    <row r="312" spans="1:12" s="107" customFormat="1" x14ac:dyDescent="0.2">
      <c r="A312" s="594" t="s">
        <v>42</v>
      </c>
      <c r="B312" s="595"/>
      <c r="C312" s="595"/>
      <c r="D312" s="958">
        <v>19.8</v>
      </c>
      <c r="E312" s="105"/>
      <c r="F312" s="106" t="s">
        <v>100</v>
      </c>
      <c r="G312" s="596">
        <f t="shared" si="8"/>
        <v>0</v>
      </c>
      <c r="H312" s="595"/>
    </row>
    <row r="313" spans="1:12" s="107" customFormat="1" x14ac:dyDescent="0.2">
      <c r="A313" s="594" t="s">
        <v>45</v>
      </c>
      <c r="B313" s="595"/>
      <c r="C313" s="595"/>
      <c r="D313" s="958">
        <v>4.1399999999999997</v>
      </c>
      <c r="E313" s="105"/>
      <c r="F313" s="106" t="s">
        <v>100</v>
      </c>
      <c r="G313" s="596">
        <f t="shared" si="8"/>
        <v>0</v>
      </c>
      <c r="H313" s="595"/>
    </row>
    <row r="314" spans="1:12" s="107" customFormat="1" x14ac:dyDescent="0.2">
      <c r="A314" s="594" t="s">
        <v>279</v>
      </c>
      <c r="B314" s="595"/>
      <c r="C314" s="595"/>
      <c r="D314" s="958">
        <v>13.73</v>
      </c>
      <c r="E314" s="105">
        <v>2</v>
      </c>
      <c r="F314" s="106" t="s">
        <v>100</v>
      </c>
      <c r="G314" s="596">
        <f>D314*E314</f>
        <v>27.46</v>
      </c>
      <c r="H314" s="595"/>
    </row>
    <row r="315" spans="1:12" s="107" customFormat="1" x14ac:dyDescent="0.2">
      <c r="A315" s="594" t="s">
        <v>44</v>
      </c>
      <c r="B315" s="595"/>
      <c r="C315" s="595"/>
      <c r="D315" s="958">
        <v>28.9</v>
      </c>
      <c r="E315" s="105">
        <f>4/12</f>
        <v>0.33333333333333331</v>
      </c>
      <c r="F315" s="106" t="s">
        <v>101</v>
      </c>
      <c r="G315" s="596">
        <f>ROUND(D315*E315,2)</f>
        <v>9.6300000000000008</v>
      </c>
      <c r="H315" s="595"/>
    </row>
    <row r="316" spans="1:12" s="107" customFormat="1" x14ac:dyDescent="0.2">
      <c r="A316" s="250"/>
      <c r="B316" s="269"/>
      <c r="C316" s="110"/>
      <c r="D316" s="250"/>
      <c r="E316" s="269"/>
      <c r="F316" s="110"/>
      <c r="G316" s="597">
        <f>SUM(G305:G315)</f>
        <v>88.2</v>
      </c>
      <c r="H316" s="598"/>
    </row>
    <row r="317" spans="1:12" s="107" customFormat="1" x14ac:dyDescent="0.2">
      <c r="A317" s="587" t="s">
        <v>102</v>
      </c>
      <c r="B317" s="588"/>
      <c r="C317" s="589"/>
      <c r="D317" s="250"/>
      <c r="E317" s="269"/>
      <c r="F317" s="110"/>
      <c r="G317" s="599">
        <v>4</v>
      </c>
      <c r="H317" s="598"/>
    </row>
    <row r="318" spans="1:12" s="107" customFormat="1" x14ac:dyDescent="0.2">
      <c r="A318" s="584" t="s">
        <v>91</v>
      </c>
      <c r="B318" s="585"/>
      <c r="C318" s="586"/>
      <c r="D318" s="250"/>
      <c r="E318" s="269"/>
      <c r="F318" s="110"/>
      <c r="G318" s="600">
        <f>ROUND(G316*G317,2)</f>
        <v>352.8</v>
      </c>
      <c r="H318" s="598"/>
      <c r="I318" s="270"/>
      <c r="J318" s="270"/>
    </row>
    <row r="319" spans="1:12" s="107" customFormat="1" x14ac:dyDescent="0.2">
      <c r="A319" s="271"/>
      <c r="C319" s="271"/>
      <c r="D319" s="26"/>
      <c r="E319" s="271"/>
      <c r="F319" s="271"/>
      <c r="G319" s="272"/>
      <c r="H319" s="272"/>
      <c r="I319" s="271"/>
      <c r="J319" s="271"/>
      <c r="K319" s="26"/>
      <c r="L319" s="271"/>
    </row>
    <row r="320" spans="1:12" s="107" customFormat="1" x14ac:dyDescent="0.2">
      <c r="A320" s="581" t="s">
        <v>311</v>
      </c>
      <c r="B320" s="582"/>
      <c r="C320" s="582"/>
      <c r="D320" s="582"/>
      <c r="E320" s="582"/>
      <c r="F320" s="582"/>
      <c r="G320" s="582"/>
      <c r="H320" s="583"/>
    </row>
    <row r="321" spans="1:12" s="107" customFormat="1" ht="25.5" x14ac:dyDescent="0.2">
      <c r="A321" s="587" t="s">
        <v>27</v>
      </c>
      <c r="B321" s="588"/>
      <c r="C321" s="589"/>
      <c r="D321" s="243" t="s">
        <v>28</v>
      </c>
      <c r="E321" s="243" t="s">
        <v>99</v>
      </c>
      <c r="F321" s="103" t="s">
        <v>1</v>
      </c>
      <c r="G321" s="587" t="s">
        <v>86</v>
      </c>
      <c r="H321" s="589"/>
    </row>
    <row r="322" spans="1:12" s="107" customFormat="1" x14ac:dyDescent="0.2">
      <c r="A322" s="594" t="s">
        <v>35</v>
      </c>
      <c r="B322" s="595"/>
      <c r="C322" s="595"/>
      <c r="D322" s="958">
        <v>70.59</v>
      </c>
      <c r="E322" s="105">
        <f>4/12</f>
        <v>0.33333333333333331</v>
      </c>
      <c r="F322" s="106" t="s">
        <v>100</v>
      </c>
      <c r="G322" s="596">
        <f t="shared" ref="G322:G331" si="9">ROUND(D322*E322,2)</f>
        <v>23.53</v>
      </c>
      <c r="H322" s="595"/>
    </row>
    <row r="323" spans="1:12" s="107" customFormat="1" x14ac:dyDescent="0.2">
      <c r="A323" s="594" t="s">
        <v>36</v>
      </c>
      <c r="B323" s="595"/>
      <c r="C323" s="595"/>
      <c r="D323" s="958">
        <v>53.28</v>
      </c>
      <c r="E323" s="105">
        <f>4/12</f>
        <v>0.33333333333333331</v>
      </c>
      <c r="F323" s="106" t="s">
        <v>100</v>
      </c>
      <c r="G323" s="596">
        <f t="shared" si="9"/>
        <v>17.760000000000002</v>
      </c>
      <c r="H323" s="595"/>
    </row>
    <row r="324" spans="1:12" s="107" customFormat="1" x14ac:dyDescent="0.2">
      <c r="A324" s="594" t="s">
        <v>37</v>
      </c>
      <c r="B324" s="595"/>
      <c r="C324" s="595"/>
      <c r="D324" s="958">
        <v>28.9</v>
      </c>
      <c r="E324" s="105"/>
      <c r="F324" s="106" t="s">
        <v>101</v>
      </c>
      <c r="G324" s="596">
        <f t="shared" si="9"/>
        <v>0</v>
      </c>
      <c r="H324" s="595"/>
    </row>
    <row r="325" spans="1:12" s="107" customFormat="1" x14ac:dyDescent="0.2">
      <c r="A325" s="594" t="s">
        <v>38</v>
      </c>
      <c r="B325" s="595"/>
      <c r="C325" s="595"/>
      <c r="D325" s="958">
        <v>28.9</v>
      </c>
      <c r="E325" s="105"/>
      <c r="F325" s="106" t="s">
        <v>101</v>
      </c>
      <c r="G325" s="596">
        <f t="shared" si="9"/>
        <v>0</v>
      </c>
      <c r="H325" s="595"/>
    </row>
    <row r="326" spans="1:12" s="107" customFormat="1" x14ac:dyDescent="0.2">
      <c r="A326" s="594" t="s">
        <v>39</v>
      </c>
      <c r="B326" s="595"/>
      <c r="C326" s="595"/>
      <c r="D326" s="958">
        <v>9.2899999999999991</v>
      </c>
      <c r="E326" s="105">
        <f>4/12</f>
        <v>0.33333333333333331</v>
      </c>
      <c r="F326" s="106" t="s">
        <v>100</v>
      </c>
      <c r="G326" s="596">
        <f t="shared" si="9"/>
        <v>3.1</v>
      </c>
      <c r="H326" s="595"/>
    </row>
    <row r="327" spans="1:12" s="107" customFormat="1" x14ac:dyDescent="0.2">
      <c r="A327" s="594" t="s">
        <v>40</v>
      </c>
      <c r="B327" s="595"/>
      <c r="C327" s="595"/>
      <c r="D327" s="958">
        <v>12.13</v>
      </c>
      <c r="E327" s="105">
        <f>3/12</f>
        <v>0.25</v>
      </c>
      <c r="F327" s="106" t="s">
        <v>100</v>
      </c>
      <c r="G327" s="596">
        <f t="shared" si="9"/>
        <v>3.03</v>
      </c>
      <c r="H327" s="595"/>
    </row>
    <row r="328" spans="1:12" s="107" customFormat="1" x14ac:dyDescent="0.2">
      <c r="A328" s="594" t="s">
        <v>41</v>
      </c>
      <c r="B328" s="595"/>
      <c r="C328" s="595"/>
      <c r="D328" s="958">
        <v>7.38</v>
      </c>
      <c r="E328" s="105">
        <f>6/12</f>
        <v>0.5</v>
      </c>
      <c r="F328" s="106" t="s">
        <v>101</v>
      </c>
      <c r="G328" s="596">
        <f t="shared" si="9"/>
        <v>3.69</v>
      </c>
      <c r="H328" s="595"/>
    </row>
    <row r="329" spans="1:12" s="107" customFormat="1" x14ac:dyDescent="0.2">
      <c r="A329" s="594" t="s">
        <v>42</v>
      </c>
      <c r="B329" s="595"/>
      <c r="C329" s="595"/>
      <c r="D329" s="958">
        <v>19.8</v>
      </c>
      <c r="E329" s="105"/>
      <c r="F329" s="106" t="s">
        <v>100</v>
      </c>
      <c r="G329" s="596">
        <f t="shared" si="9"/>
        <v>0</v>
      </c>
      <c r="H329" s="595"/>
    </row>
    <row r="330" spans="1:12" s="107" customFormat="1" x14ac:dyDescent="0.2">
      <c r="A330" s="594" t="s">
        <v>45</v>
      </c>
      <c r="B330" s="595"/>
      <c r="C330" s="595"/>
      <c r="D330" s="958">
        <v>4.1399999999999997</v>
      </c>
      <c r="E330" s="105"/>
      <c r="F330" s="106" t="s">
        <v>100</v>
      </c>
      <c r="G330" s="596">
        <f t="shared" si="9"/>
        <v>0</v>
      </c>
      <c r="H330" s="595"/>
    </row>
    <row r="331" spans="1:12" s="107" customFormat="1" x14ac:dyDescent="0.2">
      <c r="A331" s="594" t="s">
        <v>44</v>
      </c>
      <c r="B331" s="595"/>
      <c r="C331" s="595"/>
      <c r="D331" s="958">
        <v>28.9</v>
      </c>
      <c r="E331" s="105">
        <f>4/12</f>
        <v>0.33333333333333331</v>
      </c>
      <c r="F331" s="106" t="s">
        <v>101</v>
      </c>
      <c r="G331" s="596">
        <f t="shared" si="9"/>
        <v>9.6300000000000008</v>
      </c>
      <c r="H331" s="595"/>
    </row>
    <row r="332" spans="1:12" s="107" customFormat="1" x14ac:dyDescent="0.2">
      <c r="A332" s="250"/>
      <c r="B332" s="269"/>
      <c r="C332" s="110"/>
      <c r="D332" s="250"/>
      <c r="E332" s="269"/>
      <c r="F332" s="110"/>
      <c r="G332" s="597">
        <f>SUM(G322:G331)</f>
        <v>60.740000000000009</v>
      </c>
      <c r="H332" s="598"/>
    </row>
    <row r="333" spans="1:12" s="107" customFormat="1" x14ac:dyDescent="0.2">
      <c r="A333" s="587" t="s">
        <v>102</v>
      </c>
      <c r="B333" s="588"/>
      <c r="C333" s="589"/>
      <c r="D333" s="250"/>
      <c r="E333" s="269"/>
      <c r="F333" s="110"/>
      <c r="G333" s="599">
        <v>2</v>
      </c>
      <c r="H333" s="598"/>
    </row>
    <row r="334" spans="1:12" s="107" customFormat="1" x14ac:dyDescent="0.2">
      <c r="A334" s="584" t="s">
        <v>91</v>
      </c>
      <c r="B334" s="585"/>
      <c r="C334" s="586"/>
      <c r="D334" s="250"/>
      <c r="E334" s="269"/>
      <c r="F334" s="110"/>
      <c r="G334" s="600">
        <f>ROUND(G332*G333,2)</f>
        <v>121.48</v>
      </c>
      <c r="H334" s="598"/>
      <c r="I334" s="270"/>
      <c r="J334" s="270"/>
    </row>
    <row r="335" spans="1:12" s="107" customFormat="1" x14ac:dyDescent="0.2">
      <c r="A335" s="271"/>
      <c r="C335" s="271"/>
      <c r="D335" s="26"/>
      <c r="E335" s="271"/>
      <c r="F335" s="271"/>
      <c r="G335" s="272"/>
      <c r="H335" s="272"/>
      <c r="I335" s="271"/>
      <c r="J335" s="271"/>
      <c r="K335" s="26"/>
      <c r="L335" s="271"/>
    </row>
    <row r="336" spans="1:12" s="107" customFormat="1" x14ac:dyDescent="0.2">
      <c r="A336" s="581" t="s">
        <v>312</v>
      </c>
      <c r="B336" s="582"/>
      <c r="C336" s="582"/>
      <c r="D336" s="582"/>
      <c r="E336" s="582"/>
      <c r="F336" s="582"/>
      <c r="G336" s="582"/>
      <c r="H336" s="583"/>
    </row>
    <row r="337" spans="1:12" s="107" customFormat="1" ht="25.5" x14ac:dyDescent="0.2">
      <c r="A337" s="587" t="s">
        <v>27</v>
      </c>
      <c r="B337" s="588"/>
      <c r="C337" s="589"/>
      <c r="D337" s="243" t="s">
        <v>28</v>
      </c>
      <c r="E337" s="243" t="s">
        <v>99</v>
      </c>
      <c r="F337" s="103" t="s">
        <v>1</v>
      </c>
      <c r="G337" s="587" t="s">
        <v>86</v>
      </c>
      <c r="H337" s="589"/>
    </row>
    <row r="338" spans="1:12" s="107" customFormat="1" x14ac:dyDescent="0.2">
      <c r="A338" s="594" t="s">
        <v>35</v>
      </c>
      <c r="B338" s="595"/>
      <c r="C338" s="595"/>
      <c r="D338" s="958">
        <v>70.59</v>
      </c>
      <c r="E338" s="105">
        <f>4/12</f>
        <v>0.33333333333333331</v>
      </c>
      <c r="F338" s="106" t="s">
        <v>100</v>
      </c>
      <c r="G338" s="596">
        <f t="shared" ref="G338:G346" si="10">ROUND(D338*E338,2)</f>
        <v>23.53</v>
      </c>
      <c r="H338" s="595"/>
    </row>
    <row r="339" spans="1:12" s="107" customFormat="1" x14ac:dyDescent="0.2">
      <c r="A339" s="594" t="s">
        <v>36</v>
      </c>
      <c r="B339" s="595"/>
      <c r="C339" s="595"/>
      <c r="D339" s="958">
        <v>53.28</v>
      </c>
      <c r="E339" s="105">
        <f>4/12</f>
        <v>0.33333333333333331</v>
      </c>
      <c r="F339" s="106" t="s">
        <v>100</v>
      </c>
      <c r="G339" s="596">
        <f t="shared" si="10"/>
        <v>17.760000000000002</v>
      </c>
      <c r="H339" s="595"/>
    </row>
    <row r="340" spans="1:12" s="107" customFormat="1" x14ac:dyDescent="0.2">
      <c r="A340" s="594" t="s">
        <v>37</v>
      </c>
      <c r="B340" s="595"/>
      <c r="C340" s="595"/>
      <c r="D340" s="958">
        <v>28.9</v>
      </c>
      <c r="E340" s="105"/>
      <c r="F340" s="106" t="s">
        <v>101</v>
      </c>
      <c r="G340" s="596">
        <f t="shared" si="10"/>
        <v>0</v>
      </c>
      <c r="H340" s="595"/>
    </row>
    <row r="341" spans="1:12" s="107" customFormat="1" x14ac:dyDescent="0.2">
      <c r="A341" s="594" t="s">
        <v>38</v>
      </c>
      <c r="B341" s="595"/>
      <c r="C341" s="595"/>
      <c r="D341" s="958">
        <v>28.9</v>
      </c>
      <c r="E341" s="105"/>
      <c r="F341" s="106" t="s">
        <v>101</v>
      </c>
      <c r="G341" s="596">
        <f t="shared" si="10"/>
        <v>0</v>
      </c>
      <c r="H341" s="595"/>
    </row>
    <row r="342" spans="1:12" s="107" customFormat="1" x14ac:dyDescent="0.2">
      <c r="A342" s="594" t="s">
        <v>39</v>
      </c>
      <c r="B342" s="595"/>
      <c r="C342" s="595"/>
      <c r="D342" s="958">
        <v>9.2899999999999991</v>
      </c>
      <c r="E342" s="105">
        <f>4/12</f>
        <v>0.33333333333333331</v>
      </c>
      <c r="F342" s="106" t="s">
        <v>100</v>
      </c>
      <c r="G342" s="596">
        <f t="shared" si="10"/>
        <v>3.1</v>
      </c>
      <c r="H342" s="595"/>
    </row>
    <row r="343" spans="1:12" s="107" customFormat="1" x14ac:dyDescent="0.2">
      <c r="A343" s="594" t="s">
        <v>40</v>
      </c>
      <c r="B343" s="595"/>
      <c r="C343" s="595"/>
      <c r="D343" s="958">
        <v>12.13</v>
      </c>
      <c r="E343" s="105">
        <f>3/12</f>
        <v>0.25</v>
      </c>
      <c r="F343" s="106" t="s">
        <v>100</v>
      </c>
      <c r="G343" s="596">
        <f t="shared" si="10"/>
        <v>3.03</v>
      </c>
      <c r="H343" s="595"/>
    </row>
    <row r="344" spans="1:12" s="107" customFormat="1" x14ac:dyDescent="0.2">
      <c r="A344" s="594" t="s">
        <v>41</v>
      </c>
      <c r="B344" s="595"/>
      <c r="C344" s="595"/>
      <c r="D344" s="958">
        <v>7.38</v>
      </c>
      <c r="E344" s="105">
        <f>6/12</f>
        <v>0.5</v>
      </c>
      <c r="F344" s="106" t="s">
        <v>101</v>
      </c>
      <c r="G344" s="596">
        <f t="shared" si="10"/>
        <v>3.69</v>
      </c>
      <c r="H344" s="595"/>
    </row>
    <row r="345" spans="1:12" s="107" customFormat="1" x14ac:dyDescent="0.2">
      <c r="A345" s="594" t="s">
        <v>42</v>
      </c>
      <c r="B345" s="595"/>
      <c r="C345" s="595"/>
      <c r="D345" s="958">
        <v>19.8</v>
      </c>
      <c r="E345" s="105"/>
      <c r="F345" s="106" t="s">
        <v>100</v>
      </c>
      <c r="G345" s="596">
        <f t="shared" si="10"/>
        <v>0</v>
      </c>
      <c r="H345" s="595"/>
    </row>
    <row r="346" spans="1:12" s="107" customFormat="1" x14ac:dyDescent="0.2">
      <c r="A346" s="594" t="s">
        <v>45</v>
      </c>
      <c r="B346" s="595"/>
      <c r="C346" s="595"/>
      <c r="D346" s="958">
        <v>4.1399999999999997</v>
      </c>
      <c r="E346" s="105"/>
      <c r="F346" s="106" t="s">
        <v>100</v>
      </c>
      <c r="G346" s="596">
        <f t="shared" si="10"/>
        <v>0</v>
      </c>
      <c r="H346" s="595"/>
    </row>
    <row r="347" spans="1:12" s="107" customFormat="1" x14ac:dyDescent="0.2">
      <c r="A347" s="594" t="s">
        <v>279</v>
      </c>
      <c r="B347" s="595"/>
      <c r="C347" s="595"/>
      <c r="D347" s="958">
        <v>13.73</v>
      </c>
      <c r="E347" s="105">
        <v>2</v>
      </c>
      <c r="F347" s="106" t="s">
        <v>100</v>
      </c>
      <c r="G347" s="596">
        <f>D347*E347</f>
        <v>27.46</v>
      </c>
      <c r="H347" s="595"/>
    </row>
    <row r="348" spans="1:12" s="107" customFormat="1" x14ac:dyDescent="0.2">
      <c r="A348" s="594" t="s">
        <v>44</v>
      </c>
      <c r="B348" s="595"/>
      <c r="C348" s="595"/>
      <c r="D348" s="958">
        <v>28.9</v>
      </c>
      <c r="E348" s="105">
        <f>4/12</f>
        <v>0.33333333333333331</v>
      </c>
      <c r="F348" s="106" t="s">
        <v>101</v>
      </c>
      <c r="G348" s="596">
        <f>ROUND(D348*E348,2)</f>
        <v>9.6300000000000008</v>
      </c>
      <c r="H348" s="595"/>
    </row>
    <row r="349" spans="1:12" s="107" customFormat="1" x14ac:dyDescent="0.2">
      <c r="A349" s="250"/>
      <c r="B349" s="269"/>
      <c r="C349" s="110"/>
      <c r="D349" s="250"/>
      <c r="E349" s="269"/>
      <c r="F349" s="110"/>
      <c r="G349" s="597">
        <f>SUM(G338:G348)</f>
        <v>88.2</v>
      </c>
      <c r="H349" s="598"/>
    </row>
    <row r="350" spans="1:12" s="107" customFormat="1" x14ac:dyDescent="0.2">
      <c r="A350" s="587" t="s">
        <v>102</v>
      </c>
      <c r="B350" s="588"/>
      <c r="C350" s="589"/>
      <c r="D350" s="250"/>
      <c r="E350" s="269"/>
      <c r="F350" s="110"/>
      <c r="G350" s="599">
        <v>2</v>
      </c>
      <c r="H350" s="598"/>
    </row>
    <row r="351" spans="1:12" s="107" customFormat="1" x14ac:dyDescent="0.2">
      <c r="A351" s="584" t="s">
        <v>91</v>
      </c>
      <c r="B351" s="585"/>
      <c r="C351" s="586"/>
      <c r="D351" s="250"/>
      <c r="E351" s="269"/>
      <c r="F351" s="110"/>
      <c r="G351" s="600">
        <f>ROUND(G349*G350,2)</f>
        <v>176.4</v>
      </c>
      <c r="H351" s="598"/>
      <c r="I351" s="270"/>
      <c r="J351" s="270"/>
      <c r="L351" s="270"/>
    </row>
    <row r="352" spans="1:12" s="107" customFormat="1" x14ac:dyDescent="0.2">
      <c r="A352" s="271"/>
      <c r="C352" s="271"/>
      <c r="D352" s="26"/>
      <c r="E352" s="271"/>
      <c r="F352" s="271"/>
      <c r="G352" s="272"/>
      <c r="H352" s="272"/>
      <c r="I352" s="271"/>
      <c r="J352" s="271"/>
      <c r="K352" s="26"/>
      <c r="L352" s="271"/>
    </row>
    <row r="353" spans="1:12" s="107" customFormat="1" x14ac:dyDescent="0.2">
      <c r="A353" s="581" t="s">
        <v>313</v>
      </c>
      <c r="B353" s="582"/>
      <c r="C353" s="582"/>
      <c r="D353" s="582"/>
      <c r="E353" s="582"/>
      <c r="F353" s="582"/>
      <c r="G353" s="582"/>
      <c r="H353" s="583"/>
    </row>
    <row r="354" spans="1:12" s="107" customFormat="1" ht="25.5" x14ac:dyDescent="0.2">
      <c r="A354" s="587" t="s">
        <v>27</v>
      </c>
      <c r="B354" s="588"/>
      <c r="C354" s="589"/>
      <c r="D354" s="243" t="s">
        <v>28</v>
      </c>
      <c r="E354" s="243" t="s">
        <v>99</v>
      </c>
      <c r="F354" s="103" t="s">
        <v>1</v>
      </c>
      <c r="G354" s="587" t="s">
        <v>86</v>
      </c>
      <c r="H354" s="589"/>
    </row>
    <row r="355" spans="1:12" s="107" customFormat="1" x14ac:dyDescent="0.2">
      <c r="A355" s="594" t="s">
        <v>35</v>
      </c>
      <c r="B355" s="595"/>
      <c r="C355" s="595"/>
      <c r="D355" s="958">
        <v>70.59</v>
      </c>
      <c r="E355" s="105">
        <f>4/12</f>
        <v>0.33333333333333331</v>
      </c>
      <c r="F355" s="106" t="s">
        <v>100</v>
      </c>
      <c r="G355" s="596">
        <f t="shared" ref="G355:G364" si="11">ROUND(D355*E355,2)</f>
        <v>23.53</v>
      </c>
      <c r="H355" s="595"/>
    </row>
    <row r="356" spans="1:12" s="107" customFormat="1" x14ac:dyDescent="0.2">
      <c r="A356" s="594" t="s">
        <v>36</v>
      </c>
      <c r="B356" s="595"/>
      <c r="C356" s="595"/>
      <c r="D356" s="958">
        <v>53.28</v>
      </c>
      <c r="E356" s="105">
        <f>4/12</f>
        <v>0.33333333333333331</v>
      </c>
      <c r="F356" s="106" t="s">
        <v>100</v>
      </c>
      <c r="G356" s="596">
        <f t="shared" si="11"/>
        <v>17.760000000000002</v>
      </c>
      <c r="H356" s="595"/>
    </row>
    <row r="357" spans="1:12" s="107" customFormat="1" x14ac:dyDescent="0.2">
      <c r="A357" s="594" t="s">
        <v>37</v>
      </c>
      <c r="B357" s="595"/>
      <c r="C357" s="595"/>
      <c r="D357" s="958">
        <v>28.9</v>
      </c>
      <c r="E357" s="105"/>
      <c r="F357" s="106" t="s">
        <v>101</v>
      </c>
      <c r="G357" s="596">
        <f t="shared" si="11"/>
        <v>0</v>
      </c>
      <c r="H357" s="595"/>
    </row>
    <row r="358" spans="1:12" s="107" customFormat="1" x14ac:dyDescent="0.2">
      <c r="A358" s="594" t="s">
        <v>38</v>
      </c>
      <c r="B358" s="595"/>
      <c r="C358" s="595"/>
      <c r="D358" s="958">
        <v>28.9</v>
      </c>
      <c r="E358" s="105"/>
      <c r="F358" s="106" t="s">
        <v>101</v>
      </c>
      <c r="G358" s="596">
        <f t="shared" si="11"/>
        <v>0</v>
      </c>
      <c r="H358" s="595"/>
    </row>
    <row r="359" spans="1:12" s="107" customFormat="1" x14ac:dyDescent="0.2">
      <c r="A359" s="594" t="s">
        <v>39</v>
      </c>
      <c r="B359" s="595"/>
      <c r="C359" s="595"/>
      <c r="D359" s="958">
        <v>9.2899999999999991</v>
      </c>
      <c r="E359" s="105">
        <f>4/12</f>
        <v>0.33333333333333331</v>
      </c>
      <c r="F359" s="106" t="s">
        <v>100</v>
      </c>
      <c r="G359" s="596">
        <f t="shared" si="11"/>
        <v>3.1</v>
      </c>
      <c r="H359" s="595"/>
    </row>
    <row r="360" spans="1:12" s="107" customFormat="1" x14ac:dyDescent="0.2">
      <c r="A360" s="594" t="s">
        <v>40</v>
      </c>
      <c r="B360" s="595"/>
      <c r="C360" s="595"/>
      <c r="D360" s="958">
        <v>12.13</v>
      </c>
      <c r="E360" s="105">
        <f>3/12</f>
        <v>0.25</v>
      </c>
      <c r="F360" s="106" t="s">
        <v>100</v>
      </c>
      <c r="G360" s="596">
        <f t="shared" si="11"/>
        <v>3.03</v>
      </c>
      <c r="H360" s="595"/>
    </row>
    <row r="361" spans="1:12" s="107" customFormat="1" x14ac:dyDescent="0.2">
      <c r="A361" s="594" t="s">
        <v>41</v>
      </c>
      <c r="B361" s="595"/>
      <c r="C361" s="595"/>
      <c r="D361" s="958">
        <v>7.38</v>
      </c>
      <c r="E361" s="105">
        <f>6/12</f>
        <v>0.5</v>
      </c>
      <c r="F361" s="106" t="s">
        <v>101</v>
      </c>
      <c r="G361" s="596">
        <f t="shared" si="11"/>
        <v>3.69</v>
      </c>
      <c r="H361" s="595"/>
    </row>
    <row r="362" spans="1:12" s="107" customFormat="1" x14ac:dyDescent="0.2">
      <c r="A362" s="594" t="s">
        <v>42</v>
      </c>
      <c r="B362" s="595"/>
      <c r="C362" s="595"/>
      <c r="D362" s="958">
        <v>19.8</v>
      </c>
      <c r="E362" s="105"/>
      <c r="F362" s="106" t="s">
        <v>100</v>
      </c>
      <c r="G362" s="596">
        <f t="shared" si="11"/>
        <v>0</v>
      </c>
      <c r="H362" s="595"/>
    </row>
    <row r="363" spans="1:12" s="107" customFormat="1" x14ac:dyDescent="0.2">
      <c r="A363" s="594" t="s">
        <v>45</v>
      </c>
      <c r="B363" s="595"/>
      <c r="C363" s="595"/>
      <c r="D363" s="958">
        <v>4.1399999999999997</v>
      </c>
      <c r="E363" s="105"/>
      <c r="F363" s="106" t="s">
        <v>100</v>
      </c>
      <c r="G363" s="596">
        <f t="shared" si="11"/>
        <v>0</v>
      </c>
      <c r="H363" s="595"/>
    </row>
    <row r="364" spans="1:12" s="107" customFormat="1" x14ac:dyDescent="0.2">
      <c r="A364" s="594" t="s">
        <v>44</v>
      </c>
      <c r="B364" s="595"/>
      <c r="C364" s="595"/>
      <c r="D364" s="958">
        <v>28.9</v>
      </c>
      <c r="E364" s="105">
        <f>4/12</f>
        <v>0.33333333333333331</v>
      </c>
      <c r="F364" s="106" t="s">
        <v>101</v>
      </c>
      <c r="G364" s="596">
        <f t="shared" si="11"/>
        <v>9.6300000000000008</v>
      </c>
      <c r="H364" s="595"/>
    </row>
    <row r="365" spans="1:12" s="107" customFormat="1" x14ac:dyDescent="0.2">
      <c r="A365" s="250"/>
      <c r="B365" s="269"/>
      <c r="C365" s="110"/>
      <c r="D365" s="250"/>
      <c r="E365" s="269"/>
      <c r="F365" s="110"/>
      <c r="G365" s="597">
        <f>SUM(G355:G364)</f>
        <v>60.740000000000009</v>
      </c>
      <c r="H365" s="598"/>
    </row>
    <row r="366" spans="1:12" s="107" customFormat="1" x14ac:dyDescent="0.2">
      <c r="A366" s="587" t="s">
        <v>102</v>
      </c>
      <c r="B366" s="588"/>
      <c r="C366" s="589"/>
      <c r="D366" s="250"/>
      <c r="E366" s="269"/>
      <c r="F366" s="110"/>
      <c r="G366" s="599">
        <v>1</v>
      </c>
      <c r="H366" s="598"/>
    </row>
    <row r="367" spans="1:12" s="107" customFormat="1" x14ac:dyDescent="0.2">
      <c r="A367" s="584" t="s">
        <v>91</v>
      </c>
      <c r="B367" s="585"/>
      <c r="C367" s="586"/>
      <c r="D367" s="250"/>
      <c r="E367" s="269"/>
      <c r="F367" s="110"/>
      <c r="G367" s="600">
        <f>ROUND(G365*G366,2)</f>
        <v>60.74</v>
      </c>
      <c r="H367" s="598"/>
      <c r="I367" s="270"/>
      <c r="J367" s="270"/>
    </row>
    <row r="368" spans="1:12" s="107" customFormat="1" x14ac:dyDescent="0.2">
      <c r="A368" s="271"/>
      <c r="C368" s="271"/>
      <c r="D368" s="26"/>
      <c r="E368" s="271"/>
      <c r="F368" s="271"/>
      <c r="G368" s="272"/>
      <c r="H368" s="272"/>
      <c r="I368" s="271"/>
      <c r="J368" s="271"/>
      <c r="K368" s="26"/>
      <c r="L368" s="271"/>
    </row>
    <row r="369" spans="1:10" s="107" customFormat="1" x14ac:dyDescent="0.2">
      <c r="A369" s="581" t="s">
        <v>314</v>
      </c>
      <c r="B369" s="582"/>
      <c r="C369" s="582"/>
      <c r="D369" s="582"/>
      <c r="E369" s="582"/>
      <c r="F369" s="582"/>
      <c r="G369" s="582"/>
      <c r="H369" s="583"/>
    </row>
    <row r="370" spans="1:10" s="107" customFormat="1" ht="25.5" x14ac:dyDescent="0.2">
      <c r="A370" s="587" t="s">
        <v>27</v>
      </c>
      <c r="B370" s="588"/>
      <c r="C370" s="589"/>
      <c r="D370" s="243" t="s">
        <v>28</v>
      </c>
      <c r="E370" s="243" t="s">
        <v>99</v>
      </c>
      <c r="F370" s="103" t="s">
        <v>1</v>
      </c>
      <c r="G370" s="587" t="s">
        <v>86</v>
      </c>
      <c r="H370" s="589"/>
    </row>
    <row r="371" spans="1:10" s="107" customFormat="1" x14ac:dyDescent="0.2">
      <c r="A371" s="594" t="s">
        <v>35</v>
      </c>
      <c r="B371" s="595"/>
      <c r="C371" s="595"/>
      <c r="D371" s="958">
        <v>70.59</v>
      </c>
      <c r="E371" s="105">
        <f>4/12</f>
        <v>0.33333333333333331</v>
      </c>
      <c r="F371" s="106" t="s">
        <v>100</v>
      </c>
      <c r="G371" s="596">
        <f t="shared" ref="G371:G379" si="12">ROUND(D371*E371,2)</f>
        <v>23.53</v>
      </c>
      <c r="H371" s="595"/>
    </row>
    <row r="372" spans="1:10" s="107" customFormat="1" x14ac:dyDescent="0.2">
      <c r="A372" s="594" t="s">
        <v>36</v>
      </c>
      <c r="B372" s="595"/>
      <c r="C372" s="595"/>
      <c r="D372" s="958">
        <v>53.28</v>
      </c>
      <c r="E372" s="105">
        <f>4/12</f>
        <v>0.33333333333333331</v>
      </c>
      <c r="F372" s="106" t="s">
        <v>100</v>
      </c>
      <c r="G372" s="596">
        <f t="shared" si="12"/>
        <v>17.760000000000002</v>
      </c>
      <c r="H372" s="595"/>
    </row>
    <row r="373" spans="1:10" s="107" customFormat="1" x14ac:dyDescent="0.2">
      <c r="A373" s="594" t="s">
        <v>37</v>
      </c>
      <c r="B373" s="595"/>
      <c r="C373" s="595"/>
      <c r="D373" s="958">
        <v>28.9</v>
      </c>
      <c r="E373" s="105"/>
      <c r="F373" s="106" t="s">
        <v>101</v>
      </c>
      <c r="G373" s="596">
        <f t="shared" si="12"/>
        <v>0</v>
      </c>
      <c r="H373" s="595"/>
    </row>
    <row r="374" spans="1:10" s="107" customFormat="1" x14ac:dyDescent="0.2">
      <c r="A374" s="594" t="s">
        <v>38</v>
      </c>
      <c r="B374" s="595"/>
      <c r="C374" s="595"/>
      <c r="D374" s="958">
        <v>28.9</v>
      </c>
      <c r="E374" s="105"/>
      <c r="F374" s="106" t="s">
        <v>101</v>
      </c>
      <c r="G374" s="596">
        <f t="shared" si="12"/>
        <v>0</v>
      </c>
      <c r="H374" s="595"/>
    </row>
    <row r="375" spans="1:10" s="107" customFormat="1" x14ac:dyDescent="0.2">
      <c r="A375" s="594" t="s">
        <v>39</v>
      </c>
      <c r="B375" s="595"/>
      <c r="C375" s="595"/>
      <c r="D375" s="958">
        <v>9.2899999999999991</v>
      </c>
      <c r="E375" s="105">
        <f>4/12</f>
        <v>0.33333333333333331</v>
      </c>
      <c r="F375" s="106" t="s">
        <v>100</v>
      </c>
      <c r="G375" s="596">
        <f t="shared" si="12"/>
        <v>3.1</v>
      </c>
      <c r="H375" s="595"/>
    </row>
    <row r="376" spans="1:10" s="107" customFormat="1" x14ac:dyDescent="0.2">
      <c r="A376" s="594" t="s">
        <v>40</v>
      </c>
      <c r="B376" s="595"/>
      <c r="C376" s="595"/>
      <c r="D376" s="958">
        <v>12.13</v>
      </c>
      <c r="E376" s="105">
        <f>3/12</f>
        <v>0.25</v>
      </c>
      <c r="F376" s="106" t="s">
        <v>100</v>
      </c>
      <c r="G376" s="596">
        <f t="shared" si="12"/>
        <v>3.03</v>
      </c>
      <c r="H376" s="595"/>
    </row>
    <row r="377" spans="1:10" s="107" customFormat="1" x14ac:dyDescent="0.2">
      <c r="A377" s="594" t="s">
        <v>41</v>
      </c>
      <c r="B377" s="595"/>
      <c r="C377" s="595"/>
      <c r="D377" s="958">
        <v>7.38</v>
      </c>
      <c r="E377" s="105">
        <f>6/12</f>
        <v>0.5</v>
      </c>
      <c r="F377" s="106" t="s">
        <v>101</v>
      </c>
      <c r="G377" s="596">
        <f t="shared" si="12"/>
        <v>3.69</v>
      </c>
      <c r="H377" s="595"/>
    </row>
    <row r="378" spans="1:10" s="107" customFormat="1" x14ac:dyDescent="0.2">
      <c r="A378" s="594" t="s">
        <v>42</v>
      </c>
      <c r="B378" s="595"/>
      <c r="C378" s="595"/>
      <c r="D378" s="958">
        <v>19.8</v>
      </c>
      <c r="E378" s="105"/>
      <c r="F378" s="106" t="s">
        <v>100</v>
      </c>
      <c r="G378" s="596">
        <f t="shared" si="12"/>
        <v>0</v>
      </c>
      <c r="H378" s="595"/>
    </row>
    <row r="379" spans="1:10" s="107" customFormat="1" x14ac:dyDescent="0.2">
      <c r="A379" s="594" t="s">
        <v>45</v>
      </c>
      <c r="B379" s="595"/>
      <c r="C379" s="595"/>
      <c r="D379" s="958">
        <v>4.1399999999999997</v>
      </c>
      <c r="E379" s="105">
        <f>2/12</f>
        <v>0.16666666666666666</v>
      </c>
      <c r="F379" s="106" t="s">
        <v>100</v>
      </c>
      <c r="G379" s="596">
        <f t="shared" si="12"/>
        <v>0.69</v>
      </c>
      <c r="H379" s="595"/>
    </row>
    <row r="380" spans="1:10" s="107" customFormat="1" x14ac:dyDescent="0.2">
      <c r="A380" s="594" t="s">
        <v>279</v>
      </c>
      <c r="B380" s="595"/>
      <c r="C380" s="595"/>
      <c r="D380" s="958">
        <v>13.73</v>
      </c>
      <c r="E380" s="105">
        <v>2</v>
      </c>
      <c r="F380" s="106" t="s">
        <v>100</v>
      </c>
      <c r="G380" s="596">
        <f>D380*E380</f>
        <v>27.46</v>
      </c>
      <c r="H380" s="595"/>
    </row>
    <row r="381" spans="1:10" s="107" customFormat="1" x14ac:dyDescent="0.2">
      <c r="A381" s="594" t="s">
        <v>44</v>
      </c>
      <c r="B381" s="595"/>
      <c r="C381" s="595"/>
      <c r="D381" s="958">
        <v>28.9</v>
      </c>
      <c r="E381" s="105">
        <f>4/12</f>
        <v>0.33333333333333331</v>
      </c>
      <c r="F381" s="106" t="s">
        <v>101</v>
      </c>
      <c r="G381" s="596">
        <f>ROUND(D381*E381,2)</f>
        <v>9.6300000000000008</v>
      </c>
      <c r="H381" s="595"/>
    </row>
    <row r="382" spans="1:10" s="107" customFormat="1" x14ac:dyDescent="0.2">
      <c r="A382" s="250"/>
      <c r="B382" s="269"/>
      <c r="C382" s="110"/>
      <c r="D382" s="250"/>
      <c r="E382" s="269"/>
      <c r="F382" s="110"/>
      <c r="G382" s="597">
        <f>SUM(G371:G381)</f>
        <v>88.89</v>
      </c>
      <c r="H382" s="598"/>
    </row>
    <row r="383" spans="1:10" s="107" customFormat="1" x14ac:dyDescent="0.2">
      <c r="A383" s="587" t="s">
        <v>102</v>
      </c>
      <c r="B383" s="588"/>
      <c r="C383" s="589"/>
      <c r="D383" s="250"/>
      <c r="E383" s="269"/>
      <c r="F383" s="110"/>
      <c r="G383" s="599">
        <v>2</v>
      </c>
      <c r="H383" s="598"/>
    </row>
    <row r="384" spans="1:10" s="107" customFormat="1" x14ac:dyDescent="0.2">
      <c r="A384" s="584" t="s">
        <v>91</v>
      </c>
      <c r="B384" s="585"/>
      <c r="C384" s="586"/>
      <c r="D384" s="250"/>
      <c r="E384" s="269"/>
      <c r="F384" s="110"/>
      <c r="G384" s="600">
        <f>ROUND(G382*G383,2)</f>
        <v>177.78</v>
      </c>
      <c r="H384" s="598"/>
      <c r="I384" s="270"/>
      <c r="J384" s="270"/>
    </row>
    <row r="385" spans="1:12" s="107" customFormat="1" x14ac:dyDescent="0.2">
      <c r="A385" s="271"/>
      <c r="C385" s="271"/>
      <c r="D385" s="26"/>
      <c r="E385" s="271"/>
      <c r="F385" s="271"/>
      <c r="G385" s="272"/>
      <c r="H385" s="272"/>
      <c r="I385" s="271"/>
      <c r="J385" s="271"/>
      <c r="K385" s="26"/>
      <c r="L385" s="271"/>
    </row>
    <row r="386" spans="1:12" s="107" customFormat="1" x14ac:dyDescent="0.2">
      <c r="A386" s="581" t="s">
        <v>315</v>
      </c>
      <c r="B386" s="582"/>
      <c r="C386" s="582"/>
      <c r="D386" s="582"/>
      <c r="E386" s="582"/>
      <c r="F386" s="582"/>
      <c r="G386" s="582"/>
      <c r="H386" s="583"/>
    </row>
    <row r="387" spans="1:12" s="107" customFormat="1" ht="25.5" x14ac:dyDescent="0.2">
      <c r="A387" s="587" t="s">
        <v>27</v>
      </c>
      <c r="B387" s="588"/>
      <c r="C387" s="589"/>
      <c r="D387" s="243" t="s">
        <v>28</v>
      </c>
      <c r="E387" s="243" t="s">
        <v>99</v>
      </c>
      <c r="F387" s="103" t="s">
        <v>1</v>
      </c>
      <c r="G387" s="587" t="s">
        <v>86</v>
      </c>
      <c r="H387" s="589"/>
    </row>
    <row r="388" spans="1:12" s="107" customFormat="1" x14ac:dyDescent="0.2">
      <c r="A388" s="603" t="s">
        <v>35</v>
      </c>
      <c r="B388" s="604"/>
      <c r="C388" s="605"/>
      <c r="D388" s="958">
        <v>70.59</v>
      </c>
      <c r="E388" s="105">
        <f>4/12</f>
        <v>0.33333333333333331</v>
      </c>
      <c r="F388" s="106" t="s">
        <v>100</v>
      </c>
      <c r="G388" s="599">
        <f t="shared" ref="G388:G397" si="13">ROUND(D388*E388,2)</f>
        <v>23.53</v>
      </c>
      <c r="H388" s="601"/>
    </row>
    <row r="389" spans="1:12" s="107" customFormat="1" x14ac:dyDescent="0.2">
      <c r="A389" s="603" t="s">
        <v>36</v>
      </c>
      <c r="B389" s="604"/>
      <c r="C389" s="605"/>
      <c r="D389" s="958">
        <v>53.28</v>
      </c>
      <c r="E389" s="105">
        <f>4/12</f>
        <v>0.33333333333333331</v>
      </c>
      <c r="F389" s="106" t="s">
        <v>100</v>
      </c>
      <c r="G389" s="599">
        <f t="shared" si="13"/>
        <v>17.760000000000002</v>
      </c>
      <c r="H389" s="601"/>
    </row>
    <row r="390" spans="1:12" s="107" customFormat="1" x14ac:dyDescent="0.2">
      <c r="A390" s="603" t="s">
        <v>37</v>
      </c>
      <c r="B390" s="604"/>
      <c r="C390" s="605"/>
      <c r="D390" s="958">
        <v>28.9</v>
      </c>
      <c r="E390" s="105"/>
      <c r="F390" s="106" t="s">
        <v>101</v>
      </c>
      <c r="G390" s="599">
        <f t="shared" si="13"/>
        <v>0</v>
      </c>
      <c r="H390" s="601"/>
    </row>
    <row r="391" spans="1:12" s="107" customFormat="1" x14ac:dyDescent="0.2">
      <c r="A391" s="603" t="s">
        <v>38</v>
      </c>
      <c r="B391" s="604"/>
      <c r="C391" s="605"/>
      <c r="D391" s="958">
        <v>28.9</v>
      </c>
      <c r="E391" s="105"/>
      <c r="F391" s="106" t="s">
        <v>101</v>
      </c>
      <c r="G391" s="599">
        <f t="shared" si="13"/>
        <v>0</v>
      </c>
      <c r="H391" s="601"/>
    </row>
    <row r="392" spans="1:12" s="107" customFormat="1" x14ac:dyDescent="0.2">
      <c r="A392" s="603" t="s">
        <v>39</v>
      </c>
      <c r="B392" s="604"/>
      <c r="C392" s="605"/>
      <c r="D392" s="958">
        <v>9.2899999999999991</v>
      </c>
      <c r="E392" s="105">
        <f>4/12</f>
        <v>0.33333333333333331</v>
      </c>
      <c r="F392" s="106" t="s">
        <v>100</v>
      </c>
      <c r="G392" s="599">
        <f t="shared" si="13"/>
        <v>3.1</v>
      </c>
      <c r="H392" s="601"/>
    </row>
    <row r="393" spans="1:12" s="107" customFormat="1" x14ac:dyDescent="0.2">
      <c r="A393" s="603" t="s">
        <v>40</v>
      </c>
      <c r="B393" s="604"/>
      <c r="C393" s="605"/>
      <c r="D393" s="958">
        <v>12.13</v>
      </c>
      <c r="E393" s="105">
        <f>3/12</f>
        <v>0.25</v>
      </c>
      <c r="F393" s="106" t="s">
        <v>100</v>
      </c>
      <c r="G393" s="599">
        <f t="shared" si="13"/>
        <v>3.03</v>
      </c>
      <c r="H393" s="601"/>
    </row>
    <row r="394" spans="1:12" s="107" customFormat="1" x14ac:dyDescent="0.2">
      <c r="A394" s="603" t="s">
        <v>41</v>
      </c>
      <c r="B394" s="604"/>
      <c r="C394" s="605"/>
      <c r="D394" s="958">
        <v>7.38</v>
      </c>
      <c r="E394" s="105">
        <f>6/12</f>
        <v>0.5</v>
      </c>
      <c r="F394" s="106" t="s">
        <v>101</v>
      </c>
      <c r="G394" s="599">
        <f t="shared" si="13"/>
        <v>3.69</v>
      </c>
      <c r="H394" s="601"/>
    </row>
    <row r="395" spans="1:12" s="107" customFormat="1" x14ac:dyDescent="0.2">
      <c r="A395" s="603" t="s">
        <v>42</v>
      </c>
      <c r="B395" s="604"/>
      <c r="C395" s="605"/>
      <c r="D395" s="958">
        <v>19.8</v>
      </c>
      <c r="E395" s="105"/>
      <c r="F395" s="106" t="s">
        <v>100</v>
      </c>
      <c r="G395" s="599">
        <f t="shared" si="13"/>
        <v>0</v>
      </c>
      <c r="H395" s="601"/>
    </row>
    <row r="396" spans="1:12" s="107" customFormat="1" x14ac:dyDescent="0.2">
      <c r="A396" s="603" t="s">
        <v>45</v>
      </c>
      <c r="B396" s="604"/>
      <c r="C396" s="605"/>
      <c r="D396" s="958">
        <v>4.1399999999999997</v>
      </c>
      <c r="E396" s="105">
        <f>2/12</f>
        <v>0.16666666666666666</v>
      </c>
      <c r="F396" s="106" t="s">
        <v>100</v>
      </c>
      <c r="G396" s="599">
        <f t="shared" si="13"/>
        <v>0.69</v>
      </c>
      <c r="H396" s="601"/>
    </row>
    <row r="397" spans="1:12" s="107" customFormat="1" x14ac:dyDescent="0.2">
      <c r="A397" s="603" t="s">
        <v>44</v>
      </c>
      <c r="B397" s="604"/>
      <c r="C397" s="605"/>
      <c r="D397" s="958">
        <v>28.9</v>
      </c>
      <c r="E397" s="105">
        <f>4/12</f>
        <v>0.33333333333333331</v>
      </c>
      <c r="F397" s="106" t="s">
        <v>101</v>
      </c>
      <c r="G397" s="599">
        <f t="shared" si="13"/>
        <v>9.6300000000000008</v>
      </c>
      <c r="H397" s="601"/>
    </row>
    <row r="398" spans="1:12" s="107" customFormat="1" x14ac:dyDescent="0.2">
      <c r="A398" s="250"/>
      <c r="B398" s="269"/>
      <c r="C398" s="110"/>
      <c r="D398" s="250"/>
      <c r="E398" s="269"/>
      <c r="F398" s="110"/>
      <c r="G398" s="597">
        <f>SUM(G388:G397)</f>
        <v>61.430000000000007</v>
      </c>
      <c r="H398" s="606"/>
    </row>
    <row r="399" spans="1:12" s="107" customFormat="1" x14ac:dyDescent="0.2">
      <c r="A399" s="587" t="s">
        <v>102</v>
      </c>
      <c r="B399" s="588"/>
      <c r="C399" s="589"/>
      <c r="D399" s="250"/>
      <c r="E399" s="269"/>
      <c r="F399" s="110"/>
      <c r="G399" s="599">
        <v>1</v>
      </c>
      <c r="H399" s="601"/>
    </row>
    <row r="400" spans="1:12" s="107" customFormat="1" x14ac:dyDescent="0.2">
      <c r="A400" s="584" t="s">
        <v>91</v>
      </c>
      <c r="B400" s="585"/>
      <c r="C400" s="586"/>
      <c r="D400" s="250"/>
      <c r="E400" s="269"/>
      <c r="F400" s="110"/>
      <c r="G400" s="600">
        <f>ROUND(G398*G399,2)</f>
        <v>61.43</v>
      </c>
      <c r="H400" s="602"/>
      <c r="I400" s="270"/>
      <c r="J400" s="270"/>
    </row>
    <row r="401" spans="1:12" s="107" customFormat="1" x14ac:dyDescent="0.2">
      <c r="A401" s="271"/>
      <c r="C401" s="271"/>
      <c r="D401" s="26"/>
      <c r="E401" s="271"/>
      <c r="F401" s="271"/>
      <c r="G401" s="272"/>
      <c r="H401" s="272"/>
      <c r="I401" s="271"/>
      <c r="J401" s="271"/>
      <c r="K401" s="26"/>
      <c r="L401" s="271"/>
    </row>
    <row r="402" spans="1:12" s="107" customFormat="1" x14ac:dyDescent="0.2">
      <c r="A402" s="581" t="s">
        <v>316</v>
      </c>
      <c r="B402" s="582"/>
      <c r="C402" s="582"/>
      <c r="D402" s="582"/>
      <c r="E402" s="582"/>
      <c r="F402" s="582"/>
      <c r="G402" s="582"/>
      <c r="H402" s="583"/>
    </row>
    <row r="403" spans="1:12" s="107" customFormat="1" ht="25.5" x14ac:dyDescent="0.2">
      <c r="A403" s="587" t="s">
        <v>27</v>
      </c>
      <c r="B403" s="588"/>
      <c r="C403" s="589"/>
      <c r="D403" s="243" t="s">
        <v>28</v>
      </c>
      <c r="E403" s="243" t="s">
        <v>99</v>
      </c>
      <c r="F403" s="103" t="s">
        <v>1</v>
      </c>
      <c r="G403" s="587" t="s">
        <v>86</v>
      </c>
      <c r="H403" s="589"/>
    </row>
    <row r="404" spans="1:12" s="107" customFormat="1" x14ac:dyDescent="0.2">
      <c r="A404" s="594" t="s">
        <v>35</v>
      </c>
      <c r="B404" s="595"/>
      <c r="C404" s="595"/>
      <c r="D404" s="958">
        <v>70.59</v>
      </c>
      <c r="E404" s="105">
        <f>4/12</f>
        <v>0.33333333333333331</v>
      </c>
      <c r="F404" s="106" t="s">
        <v>100</v>
      </c>
      <c r="G404" s="596">
        <f t="shared" ref="G404:G412" si="14">ROUND(D404*E404,2)</f>
        <v>23.53</v>
      </c>
      <c r="H404" s="595"/>
    </row>
    <row r="405" spans="1:12" s="107" customFormat="1" x14ac:dyDescent="0.2">
      <c r="A405" s="594" t="s">
        <v>36</v>
      </c>
      <c r="B405" s="595"/>
      <c r="C405" s="595"/>
      <c r="D405" s="958">
        <v>53.28</v>
      </c>
      <c r="E405" s="105">
        <f>4/12</f>
        <v>0.33333333333333331</v>
      </c>
      <c r="F405" s="106" t="s">
        <v>100</v>
      </c>
      <c r="G405" s="596">
        <f t="shared" si="14"/>
        <v>17.760000000000002</v>
      </c>
      <c r="H405" s="595"/>
    </row>
    <row r="406" spans="1:12" s="107" customFormat="1" x14ac:dyDescent="0.2">
      <c r="A406" s="594" t="s">
        <v>37</v>
      </c>
      <c r="B406" s="595"/>
      <c r="C406" s="595"/>
      <c r="D406" s="958">
        <v>28.9</v>
      </c>
      <c r="E406" s="105"/>
      <c r="F406" s="106" t="s">
        <v>101</v>
      </c>
      <c r="G406" s="596">
        <f t="shared" si="14"/>
        <v>0</v>
      </c>
      <c r="H406" s="595"/>
    </row>
    <row r="407" spans="1:12" s="107" customFormat="1" x14ac:dyDescent="0.2">
      <c r="A407" s="594" t="s">
        <v>38</v>
      </c>
      <c r="B407" s="595"/>
      <c r="C407" s="595"/>
      <c r="D407" s="958">
        <v>28.9</v>
      </c>
      <c r="E407" s="105"/>
      <c r="F407" s="106" t="s">
        <v>101</v>
      </c>
      <c r="G407" s="596">
        <f t="shared" si="14"/>
        <v>0</v>
      </c>
      <c r="H407" s="595"/>
    </row>
    <row r="408" spans="1:12" s="107" customFormat="1" x14ac:dyDescent="0.2">
      <c r="A408" s="594" t="s">
        <v>39</v>
      </c>
      <c r="B408" s="595"/>
      <c r="C408" s="595"/>
      <c r="D408" s="958">
        <v>9.2899999999999991</v>
      </c>
      <c r="E408" s="105">
        <f>4/12</f>
        <v>0.33333333333333331</v>
      </c>
      <c r="F408" s="106" t="s">
        <v>100</v>
      </c>
      <c r="G408" s="596">
        <f t="shared" si="14"/>
        <v>3.1</v>
      </c>
      <c r="H408" s="595"/>
    </row>
    <row r="409" spans="1:12" s="107" customFormat="1" x14ac:dyDescent="0.2">
      <c r="A409" s="594" t="s">
        <v>40</v>
      </c>
      <c r="B409" s="595"/>
      <c r="C409" s="595"/>
      <c r="D409" s="958">
        <v>12.13</v>
      </c>
      <c r="E409" s="105">
        <f>3/12</f>
        <v>0.25</v>
      </c>
      <c r="F409" s="106" t="s">
        <v>100</v>
      </c>
      <c r="G409" s="596">
        <f t="shared" si="14"/>
        <v>3.03</v>
      </c>
      <c r="H409" s="595"/>
    </row>
    <row r="410" spans="1:12" s="107" customFormat="1" x14ac:dyDescent="0.2">
      <c r="A410" s="594" t="s">
        <v>41</v>
      </c>
      <c r="B410" s="595"/>
      <c r="C410" s="595"/>
      <c r="D410" s="958">
        <v>7.38</v>
      </c>
      <c r="E410" s="105">
        <f>6/12</f>
        <v>0.5</v>
      </c>
      <c r="F410" s="106" t="s">
        <v>101</v>
      </c>
      <c r="G410" s="596">
        <f t="shared" si="14"/>
        <v>3.69</v>
      </c>
      <c r="H410" s="595"/>
    </row>
    <row r="411" spans="1:12" s="107" customFormat="1" x14ac:dyDescent="0.2">
      <c r="A411" s="594" t="s">
        <v>42</v>
      </c>
      <c r="B411" s="595"/>
      <c r="C411" s="595"/>
      <c r="D411" s="958">
        <v>19.8</v>
      </c>
      <c r="E411" s="105"/>
      <c r="F411" s="106" t="s">
        <v>100</v>
      </c>
      <c r="G411" s="596">
        <f t="shared" si="14"/>
        <v>0</v>
      </c>
      <c r="H411" s="595"/>
    </row>
    <row r="412" spans="1:12" s="107" customFormat="1" x14ac:dyDescent="0.2">
      <c r="A412" s="594" t="s">
        <v>45</v>
      </c>
      <c r="B412" s="595"/>
      <c r="C412" s="595"/>
      <c r="D412" s="958">
        <v>4.1399999999999997</v>
      </c>
      <c r="E412" s="105"/>
      <c r="F412" s="106" t="s">
        <v>100</v>
      </c>
      <c r="G412" s="596">
        <f t="shared" si="14"/>
        <v>0</v>
      </c>
      <c r="H412" s="595"/>
    </row>
    <row r="413" spans="1:12" s="107" customFormat="1" x14ac:dyDescent="0.2">
      <c r="A413" s="594" t="s">
        <v>279</v>
      </c>
      <c r="B413" s="595"/>
      <c r="C413" s="595"/>
      <c r="D413" s="958">
        <v>13.73</v>
      </c>
      <c r="E413" s="105">
        <v>2</v>
      </c>
      <c r="F413" s="106" t="s">
        <v>100</v>
      </c>
      <c r="G413" s="596">
        <f>D413*E413</f>
        <v>27.46</v>
      </c>
      <c r="H413" s="595"/>
    </row>
    <row r="414" spans="1:12" s="107" customFormat="1" x14ac:dyDescent="0.2">
      <c r="A414" s="594" t="s">
        <v>44</v>
      </c>
      <c r="B414" s="595"/>
      <c r="C414" s="595"/>
      <c r="D414" s="958">
        <v>28.9</v>
      </c>
      <c r="E414" s="105">
        <f>4/12</f>
        <v>0.33333333333333331</v>
      </c>
      <c r="F414" s="106" t="s">
        <v>101</v>
      </c>
      <c r="G414" s="596">
        <f>ROUND(D414*E414,2)</f>
        <v>9.6300000000000008</v>
      </c>
      <c r="H414" s="595"/>
    </row>
    <row r="415" spans="1:12" s="107" customFormat="1" x14ac:dyDescent="0.2">
      <c r="A415" s="250"/>
      <c r="B415" s="269"/>
      <c r="C415" s="110"/>
      <c r="D415" s="250"/>
      <c r="E415" s="269"/>
      <c r="F415" s="110"/>
      <c r="G415" s="597">
        <f>SUM(G404:G414)</f>
        <v>88.2</v>
      </c>
      <c r="H415" s="598"/>
    </row>
    <row r="416" spans="1:12" s="107" customFormat="1" x14ac:dyDescent="0.2">
      <c r="A416" s="587" t="s">
        <v>102</v>
      </c>
      <c r="B416" s="588"/>
      <c r="C416" s="589"/>
      <c r="D416" s="250"/>
      <c r="E416" s="269"/>
      <c r="F416" s="110"/>
      <c r="G416" s="599">
        <v>4</v>
      </c>
      <c r="H416" s="598"/>
    </row>
    <row r="417" spans="1:12" s="107" customFormat="1" x14ac:dyDescent="0.2">
      <c r="A417" s="584" t="s">
        <v>91</v>
      </c>
      <c r="B417" s="585"/>
      <c r="C417" s="586"/>
      <c r="D417" s="250"/>
      <c r="E417" s="269"/>
      <c r="F417" s="110"/>
      <c r="G417" s="600">
        <f>ROUND(G415*G416,2)</f>
        <v>352.8</v>
      </c>
      <c r="H417" s="598"/>
      <c r="I417" s="270"/>
      <c r="J417" s="270"/>
    </row>
    <row r="418" spans="1:12" s="107" customFormat="1" x14ac:dyDescent="0.2">
      <c r="A418" s="271"/>
      <c r="C418" s="271"/>
      <c r="D418" s="26"/>
      <c r="E418" s="271"/>
      <c r="F418" s="271"/>
      <c r="G418" s="272"/>
      <c r="H418" s="272"/>
      <c r="I418" s="271"/>
      <c r="J418" s="271"/>
      <c r="K418" s="26"/>
      <c r="L418" s="271"/>
    </row>
    <row r="419" spans="1:12" s="107" customFormat="1" x14ac:dyDescent="0.2">
      <c r="A419" s="581" t="s">
        <v>317</v>
      </c>
      <c r="B419" s="582"/>
      <c r="C419" s="582"/>
      <c r="D419" s="582"/>
      <c r="E419" s="582"/>
      <c r="F419" s="582"/>
      <c r="G419" s="582"/>
      <c r="H419" s="583"/>
    </row>
    <row r="420" spans="1:12" s="107" customFormat="1" ht="25.5" x14ac:dyDescent="0.2">
      <c r="A420" s="587" t="s">
        <v>27</v>
      </c>
      <c r="B420" s="588"/>
      <c r="C420" s="589"/>
      <c r="D420" s="243" t="s">
        <v>28</v>
      </c>
      <c r="E420" s="243" t="s">
        <v>99</v>
      </c>
      <c r="F420" s="103" t="s">
        <v>1</v>
      </c>
      <c r="G420" s="587" t="s">
        <v>86</v>
      </c>
      <c r="H420" s="589"/>
    </row>
    <row r="421" spans="1:12" s="107" customFormat="1" x14ac:dyDescent="0.2">
      <c r="A421" s="603" t="s">
        <v>35</v>
      </c>
      <c r="B421" s="604"/>
      <c r="C421" s="605"/>
      <c r="D421" s="958">
        <v>70.59</v>
      </c>
      <c r="E421" s="105">
        <f>4/12</f>
        <v>0.33333333333333331</v>
      </c>
      <c r="F421" s="106" t="s">
        <v>100</v>
      </c>
      <c r="G421" s="599">
        <f t="shared" ref="G421:G430" si="15">ROUND(D421*E421,2)</f>
        <v>23.53</v>
      </c>
      <c r="H421" s="601"/>
    </row>
    <row r="422" spans="1:12" s="107" customFormat="1" x14ac:dyDescent="0.2">
      <c r="A422" s="603" t="s">
        <v>36</v>
      </c>
      <c r="B422" s="604"/>
      <c r="C422" s="605"/>
      <c r="D422" s="958">
        <v>53.28</v>
      </c>
      <c r="E422" s="105">
        <f>4/12</f>
        <v>0.33333333333333331</v>
      </c>
      <c r="F422" s="106" t="s">
        <v>100</v>
      </c>
      <c r="G422" s="599">
        <f t="shared" si="15"/>
        <v>17.760000000000002</v>
      </c>
      <c r="H422" s="601"/>
    </row>
    <row r="423" spans="1:12" s="107" customFormat="1" x14ac:dyDescent="0.2">
      <c r="A423" s="603" t="s">
        <v>37</v>
      </c>
      <c r="B423" s="604"/>
      <c r="C423" s="605"/>
      <c r="D423" s="958">
        <v>28.9</v>
      </c>
      <c r="E423" s="105"/>
      <c r="F423" s="106" t="s">
        <v>101</v>
      </c>
      <c r="G423" s="599">
        <f t="shared" si="15"/>
        <v>0</v>
      </c>
      <c r="H423" s="601"/>
    </row>
    <row r="424" spans="1:12" s="107" customFormat="1" x14ac:dyDescent="0.2">
      <c r="A424" s="603" t="s">
        <v>38</v>
      </c>
      <c r="B424" s="604"/>
      <c r="C424" s="605"/>
      <c r="D424" s="958">
        <v>28.9</v>
      </c>
      <c r="E424" s="105"/>
      <c r="F424" s="106" t="s">
        <v>101</v>
      </c>
      <c r="G424" s="599">
        <f t="shared" si="15"/>
        <v>0</v>
      </c>
      <c r="H424" s="601"/>
    </row>
    <row r="425" spans="1:12" s="107" customFormat="1" x14ac:dyDescent="0.2">
      <c r="A425" s="603" t="s">
        <v>39</v>
      </c>
      <c r="B425" s="604"/>
      <c r="C425" s="605"/>
      <c r="D425" s="958">
        <v>9.2899999999999991</v>
      </c>
      <c r="E425" s="105">
        <f>4/12</f>
        <v>0.33333333333333331</v>
      </c>
      <c r="F425" s="106" t="s">
        <v>100</v>
      </c>
      <c r="G425" s="599">
        <f t="shared" si="15"/>
        <v>3.1</v>
      </c>
      <c r="H425" s="601"/>
    </row>
    <row r="426" spans="1:12" s="107" customFormat="1" x14ac:dyDescent="0.2">
      <c r="A426" s="603" t="s">
        <v>40</v>
      </c>
      <c r="B426" s="604"/>
      <c r="C426" s="605"/>
      <c r="D426" s="958">
        <v>12.13</v>
      </c>
      <c r="E426" s="105">
        <f>3/12</f>
        <v>0.25</v>
      </c>
      <c r="F426" s="106" t="s">
        <v>100</v>
      </c>
      <c r="G426" s="599">
        <f t="shared" si="15"/>
        <v>3.03</v>
      </c>
      <c r="H426" s="601"/>
    </row>
    <row r="427" spans="1:12" s="107" customFormat="1" x14ac:dyDescent="0.2">
      <c r="A427" s="603" t="s">
        <v>41</v>
      </c>
      <c r="B427" s="604"/>
      <c r="C427" s="605"/>
      <c r="D427" s="958">
        <v>7.38</v>
      </c>
      <c r="E427" s="105">
        <f>6/12</f>
        <v>0.5</v>
      </c>
      <c r="F427" s="106" t="s">
        <v>101</v>
      </c>
      <c r="G427" s="599">
        <f t="shared" si="15"/>
        <v>3.69</v>
      </c>
      <c r="H427" s="601"/>
    </row>
    <row r="428" spans="1:12" s="107" customFormat="1" x14ac:dyDescent="0.2">
      <c r="A428" s="603" t="s">
        <v>42</v>
      </c>
      <c r="B428" s="604"/>
      <c r="C428" s="605"/>
      <c r="D428" s="958">
        <v>19.8</v>
      </c>
      <c r="E428" s="105"/>
      <c r="F428" s="106" t="s">
        <v>100</v>
      </c>
      <c r="G428" s="599">
        <f t="shared" si="15"/>
        <v>0</v>
      </c>
      <c r="H428" s="601"/>
    </row>
    <row r="429" spans="1:12" s="107" customFormat="1" x14ac:dyDescent="0.2">
      <c r="A429" s="603" t="s">
        <v>45</v>
      </c>
      <c r="B429" s="604"/>
      <c r="C429" s="605"/>
      <c r="D429" s="958">
        <v>4.1399999999999997</v>
      </c>
      <c r="E429" s="105"/>
      <c r="F429" s="106" t="s">
        <v>100</v>
      </c>
      <c r="G429" s="599">
        <f t="shared" si="15"/>
        <v>0</v>
      </c>
      <c r="H429" s="601"/>
    </row>
    <row r="430" spans="1:12" s="107" customFormat="1" x14ac:dyDescent="0.2">
      <c r="A430" s="603" t="s">
        <v>44</v>
      </c>
      <c r="B430" s="604"/>
      <c r="C430" s="605"/>
      <c r="D430" s="958">
        <v>28.9</v>
      </c>
      <c r="E430" s="105">
        <f>4/12</f>
        <v>0.33333333333333331</v>
      </c>
      <c r="F430" s="106" t="s">
        <v>101</v>
      </c>
      <c r="G430" s="599">
        <f t="shared" si="15"/>
        <v>9.6300000000000008</v>
      </c>
      <c r="H430" s="601"/>
    </row>
    <row r="431" spans="1:12" s="107" customFormat="1" x14ac:dyDescent="0.2">
      <c r="A431" s="250"/>
      <c r="B431" s="269"/>
      <c r="C431" s="110"/>
      <c r="D431" s="250"/>
      <c r="E431" s="269"/>
      <c r="F431" s="110"/>
      <c r="G431" s="597">
        <f>SUM(G421:G430)</f>
        <v>60.740000000000009</v>
      </c>
      <c r="H431" s="606"/>
    </row>
    <row r="432" spans="1:12" s="107" customFormat="1" x14ac:dyDescent="0.2">
      <c r="A432" s="587" t="s">
        <v>102</v>
      </c>
      <c r="B432" s="588"/>
      <c r="C432" s="589"/>
      <c r="D432" s="250"/>
      <c r="E432" s="269"/>
      <c r="F432" s="110"/>
      <c r="G432" s="599">
        <v>1</v>
      </c>
      <c r="H432" s="601"/>
    </row>
    <row r="433" spans="1:12" s="107" customFormat="1" x14ac:dyDescent="0.2">
      <c r="A433" s="584" t="s">
        <v>91</v>
      </c>
      <c r="B433" s="585"/>
      <c r="C433" s="586"/>
      <c r="D433" s="250"/>
      <c r="E433" s="269"/>
      <c r="F433" s="110"/>
      <c r="G433" s="600">
        <f>ROUND(G431*G432,2)</f>
        <v>60.74</v>
      </c>
      <c r="H433" s="602"/>
      <c r="I433" s="270"/>
      <c r="J433" s="270"/>
    </row>
    <row r="434" spans="1:12" s="107" customFormat="1" x14ac:dyDescent="0.2">
      <c r="A434" s="271"/>
      <c r="C434" s="271"/>
      <c r="D434" s="26"/>
      <c r="E434" s="271"/>
      <c r="F434" s="271"/>
      <c r="G434" s="272"/>
      <c r="H434" s="272"/>
      <c r="I434" s="271"/>
      <c r="J434" s="271"/>
      <c r="K434" s="26"/>
      <c r="L434" s="271"/>
    </row>
    <row r="435" spans="1:12" s="107" customFormat="1" x14ac:dyDescent="0.2">
      <c r="A435" s="581" t="s">
        <v>318</v>
      </c>
      <c r="B435" s="582"/>
      <c r="C435" s="582"/>
      <c r="D435" s="582"/>
      <c r="E435" s="582"/>
      <c r="F435" s="582"/>
      <c r="G435" s="582"/>
      <c r="H435" s="583"/>
    </row>
    <row r="436" spans="1:12" s="107" customFormat="1" ht="25.5" x14ac:dyDescent="0.2">
      <c r="A436" s="587" t="s">
        <v>27</v>
      </c>
      <c r="B436" s="588"/>
      <c r="C436" s="589"/>
      <c r="D436" s="243" t="s">
        <v>28</v>
      </c>
      <c r="E436" s="243" t="s">
        <v>99</v>
      </c>
      <c r="F436" s="103" t="s">
        <v>1</v>
      </c>
      <c r="G436" s="587" t="s">
        <v>86</v>
      </c>
      <c r="H436" s="589"/>
    </row>
    <row r="437" spans="1:12" s="107" customFormat="1" x14ac:dyDescent="0.2">
      <c r="A437" s="594" t="s">
        <v>35</v>
      </c>
      <c r="B437" s="595"/>
      <c r="C437" s="595"/>
      <c r="D437" s="958">
        <v>70.59</v>
      </c>
      <c r="E437" s="105">
        <f>3/12</f>
        <v>0.25</v>
      </c>
      <c r="F437" s="106" t="s">
        <v>100</v>
      </c>
      <c r="G437" s="596">
        <f t="shared" ref="G437:G445" si="16">ROUND(D437*E437,2)</f>
        <v>17.649999999999999</v>
      </c>
      <c r="H437" s="595"/>
    </row>
    <row r="438" spans="1:12" s="107" customFormat="1" x14ac:dyDescent="0.2">
      <c r="A438" s="594" t="s">
        <v>36</v>
      </c>
      <c r="B438" s="595"/>
      <c r="C438" s="595"/>
      <c r="D438" s="958">
        <v>53.28</v>
      </c>
      <c r="E438" s="105">
        <f>3/12</f>
        <v>0.25</v>
      </c>
      <c r="F438" s="106" t="s">
        <v>100</v>
      </c>
      <c r="G438" s="596">
        <f t="shared" si="16"/>
        <v>13.32</v>
      </c>
      <c r="H438" s="595"/>
    </row>
    <row r="439" spans="1:12" s="107" customFormat="1" x14ac:dyDescent="0.2">
      <c r="A439" s="594" t="s">
        <v>37</v>
      </c>
      <c r="B439" s="595"/>
      <c r="C439" s="595"/>
      <c r="D439" s="958">
        <v>28.9</v>
      </c>
      <c r="E439" s="105">
        <f>2/12</f>
        <v>0.16666666666666666</v>
      </c>
      <c r="F439" s="106" t="s">
        <v>101</v>
      </c>
      <c r="G439" s="596">
        <f t="shared" si="16"/>
        <v>4.82</v>
      </c>
      <c r="H439" s="595"/>
    </row>
    <row r="440" spans="1:12" s="107" customFormat="1" x14ac:dyDescent="0.2">
      <c r="A440" s="594" t="s">
        <v>38</v>
      </c>
      <c r="B440" s="595"/>
      <c r="C440" s="595"/>
      <c r="D440" s="958">
        <v>28.9</v>
      </c>
      <c r="E440" s="105"/>
      <c r="F440" s="106" t="s">
        <v>101</v>
      </c>
      <c r="G440" s="596">
        <f t="shared" si="16"/>
        <v>0</v>
      </c>
      <c r="H440" s="595"/>
    </row>
    <row r="441" spans="1:12" s="107" customFormat="1" x14ac:dyDescent="0.2">
      <c r="A441" s="594" t="s">
        <v>39</v>
      </c>
      <c r="B441" s="595"/>
      <c r="C441" s="595"/>
      <c r="D441" s="958">
        <v>9.2899999999999991</v>
      </c>
      <c r="E441" s="105">
        <f>3/12</f>
        <v>0.25</v>
      </c>
      <c r="F441" s="106" t="s">
        <v>100</v>
      </c>
      <c r="G441" s="596">
        <f t="shared" si="16"/>
        <v>2.3199999999999998</v>
      </c>
      <c r="H441" s="595"/>
    </row>
    <row r="442" spans="1:12" s="107" customFormat="1" x14ac:dyDescent="0.2">
      <c r="A442" s="594" t="s">
        <v>40</v>
      </c>
      <c r="B442" s="595"/>
      <c r="C442" s="595"/>
      <c r="D442" s="958">
        <v>12.13</v>
      </c>
      <c r="E442" s="105">
        <f>2/12</f>
        <v>0.16666666666666666</v>
      </c>
      <c r="F442" s="106" t="s">
        <v>100</v>
      </c>
      <c r="G442" s="596">
        <f t="shared" si="16"/>
        <v>2.02</v>
      </c>
      <c r="H442" s="595"/>
    </row>
    <row r="443" spans="1:12" s="107" customFormat="1" x14ac:dyDescent="0.2">
      <c r="A443" s="594" t="s">
        <v>41</v>
      </c>
      <c r="B443" s="595"/>
      <c r="C443" s="595"/>
      <c r="D443" s="958">
        <v>7.38</v>
      </c>
      <c r="E443" s="105"/>
      <c r="F443" s="106" t="s">
        <v>101</v>
      </c>
      <c r="G443" s="596">
        <f t="shared" si="16"/>
        <v>0</v>
      </c>
      <c r="H443" s="595"/>
    </row>
    <row r="444" spans="1:12" s="107" customFormat="1" x14ac:dyDescent="0.2">
      <c r="A444" s="594" t="s">
        <v>42</v>
      </c>
      <c r="B444" s="595"/>
      <c r="C444" s="595"/>
      <c r="D444" s="958">
        <v>19.8</v>
      </c>
      <c r="E444" s="105"/>
      <c r="F444" s="106" t="s">
        <v>100</v>
      </c>
      <c r="G444" s="596">
        <f t="shared" si="16"/>
        <v>0</v>
      </c>
      <c r="H444" s="595"/>
    </row>
    <row r="445" spans="1:12" s="107" customFormat="1" x14ac:dyDescent="0.2">
      <c r="A445" s="594" t="s">
        <v>45</v>
      </c>
      <c r="B445" s="595"/>
      <c r="C445" s="595"/>
      <c r="D445" s="958">
        <v>4.1399999999999997</v>
      </c>
      <c r="E445" s="105"/>
      <c r="F445" s="106" t="s">
        <v>100</v>
      </c>
      <c r="G445" s="596">
        <f t="shared" si="16"/>
        <v>0</v>
      </c>
      <c r="H445" s="595"/>
    </row>
    <row r="446" spans="1:12" s="107" customFormat="1" x14ac:dyDescent="0.2">
      <c r="A446" s="594" t="s">
        <v>279</v>
      </c>
      <c r="B446" s="595"/>
      <c r="C446" s="595"/>
      <c r="D446" s="958">
        <v>13.73</v>
      </c>
      <c r="E446" s="105">
        <v>2</v>
      </c>
      <c r="F446" s="106" t="s">
        <v>100</v>
      </c>
      <c r="G446" s="596">
        <f>D446*E446</f>
        <v>27.46</v>
      </c>
      <c r="H446" s="595"/>
    </row>
    <row r="447" spans="1:12" s="107" customFormat="1" x14ac:dyDescent="0.2">
      <c r="A447" s="594" t="s">
        <v>44</v>
      </c>
      <c r="B447" s="595"/>
      <c r="C447" s="595"/>
      <c r="D447" s="958">
        <v>28.9</v>
      </c>
      <c r="E447" s="105"/>
      <c r="F447" s="106" t="s">
        <v>101</v>
      </c>
      <c r="G447" s="596">
        <f>ROUND(D447*E447,2)</f>
        <v>0</v>
      </c>
      <c r="H447" s="595"/>
    </row>
    <row r="448" spans="1:12" s="107" customFormat="1" x14ac:dyDescent="0.2">
      <c r="A448" s="250"/>
      <c r="B448" s="269"/>
      <c r="C448" s="110"/>
      <c r="D448" s="250"/>
      <c r="E448" s="269"/>
      <c r="F448" s="110"/>
      <c r="G448" s="597">
        <f>SUM(G437:G447)</f>
        <v>67.59</v>
      </c>
      <c r="H448" s="598"/>
    </row>
    <row r="449" spans="1:13" s="107" customFormat="1" x14ac:dyDescent="0.2">
      <c r="A449" s="587" t="s">
        <v>102</v>
      </c>
      <c r="B449" s="588"/>
      <c r="C449" s="589"/>
      <c r="D449" s="250"/>
      <c r="E449" s="269"/>
      <c r="F449" s="110"/>
      <c r="G449" s="599">
        <v>1</v>
      </c>
      <c r="H449" s="598"/>
    </row>
    <row r="450" spans="1:13" s="107" customFormat="1" x14ac:dyDescent="0.2">
      <c r="A450" s="584" t="s">
        <v>91</v>
      </c>
      <c r="B450" s="585"/>
      <c r="C450" s="586"/>
      <c r="D450" s="250"/>
      <c r="E450" s="269"/>
      <c r="F450" s="110"/>
      <c r="G450" s="600">
        <f>ROUND(G448*G449,2)</f>
        <v>67.59</v>
      </c>
      <c r="H450" s="598"/>
      <c r="I450" s="270"/>
      <c r="J450" s="270"/>
    </row>
    <row r="451" spans="1:13" s="107" customFormat="1" x14ac:dyDescent="0.2">
      <c r="A451" s="271"/>
      <c r="C451" s="271"/>
      <c r="D451" s="26"/>
      <c r="E451" s="271"/>
      <c r="F451" s="271"/>
      <c r="G451" s="272"/>
      <c r="H451" s="272"/>
      <c r="I451" s="271"/>
      <c r="J451" s="271"/>
      <c r="K451" s="26"/>
      <c r="L451" s="271"/>
    </row>
    <row r="452" spans="1:13" s="245" customFormat="1" x14ac:dyDescent="0.2">
      <c r="A452" s="580" t="s">
        <v>281</v>
      </c>
      <c r="B452" s="580"/>
      <c r="C452" s="580"/>
      <c r="D452" s="580"/>
      <c r="E452" s="580"/>
      <c r="F452" s="580"/>
      <c r="G452" s="580"/>
      <c r="H452" s="580"/>
    </row>
    <row r="453" spans="1:13" s="245" customFormat="1" x14ac:dyDescent="0.2">
      <c r="A453" s="587" t="s">
        <v>0</v>
      </c>
      <c r="B453" s="588"/>
      <c r="C453" s="589"/>
      <c r="D453" s="108" t="s">
        <v>1</v>
      </c>
      <c r="E453" s="108" t="s">
        <v>2</v>
      </c>
      <c r="F453" s="587" t="s">
        <v>125</v>
      </c>
      <c r="G453" s="589"/>
      <c r="H453" s="108" t="s">
        <v>86</v>
      </c>
    </row>
    <row r="454" spans="1:13" s="245" customFormat="1" x14ac:dyDescent="0.2">
      <c r="A454" s="594" t="s">
        <v>192</v>
      </c>
      <c r="B454" s="595"/>
      <c r="C454" s="595"/>
      <c r="D454" s="106" t="s">
        <v>49</v>
      </c>
      <c r="E454" s="105">
        <v>1</v>
      </c>
      <c r="F454" s="962">
        <f>900*'Lote 01 - P1-UTMB ASA SUL '!$J$17</f>
        <v>912.87</v>
      </c>
      <c r="G454" s="963"/>
      <c r="H454" s="105">
        <f>ROUND(E454*F454,2)</f>
        <v>912.87</v>
      </c>
    </row>
    <row r="455" spans="1:13" s="245" customFormat="1" x14ac:dyDescent="0.2">
      <c r="A455" s="584" t="s">
        <v>91</v>
      </c>
      <c r="B455" s="585"/>
      <c r="C455" s="586"/>
      <c r="D455" s="250"/>
      <c r="E455" s="269"/>
      <c r="F455" s="109"/>
      <c r="G455" s="110"/>
      <c r="H455" s="274">
        <f>SUM(H454:H454)</f>
        <v>912.87</v>
      </c>
    </row>
    <row r="456" spans="1:13" s="245" customFormat="1" x14ac:dyDescent="0.2"/>
    <row r="457" spans="1:13" s="107" customFormat="1" x14ac:dyDescent="0.2">
      <c r="A457" s="577" t="s">
        <v>26</v>
      </c>
      <c r="B457" s="578"/>
      <c r="C457" s="578"/>
      <c r="D457" s="578"/>
      <c r="E457" s="578"/>
      <c r="F457" s="579"/>
      <c r="G457" s="607">
        <f>+H455+H167</f>
        <v>21952.57</v>
      </c>
      <c r="H457" s="608"/>
      <c r="I457" s="270"/>
      <c r="J457" s="270"/>
      <c r="L457" s="273" t="e">
        <f>#REF!</f>
        <v>#REF!</v>
      </c>
    </row>
    <row r="458" spans="1:13" s="242" customFormat="1" x14ac:dyDescent="0.2">
      <c r="A458" s="245"/>
      <c r="B458" s="245"/>
      <c r="C458" s="245"/>
      <c r="D458" s="245"/>
      <c r="E458" s="245"/>
      <c r="F458" s="245"/>
      <c r="G458" s="245"/>
    </row>
    <row r="459" spans="1:13" s="242" customFormat="1" x14ac:dyDescent="0.2">
      <c r="A459" s="245"/>
      <c r="B459" s="245"/>
      <c r="C459" s="245"/>
      <c r="D459" s="245"/>
      <c r="E459" s="245"/>
      <c r="F459" s="245"/>
      <c r="G459" s="245"/>
      <c r="H459" s="245"/>
    </row>
    <row r="460" spans="1:13" s="242" customFormat="1" x14ac:dyDescent="0.2">
      <c r="L460" s="685">
        <f>I155+I138+I122+I106+I90+I74+I58+I42+I26</f>
        <v>203969.69707283546</v>
      </c>
      <c r="M460" s="685"/>
    </row>
    <row r="461" spans="1:13" x14ac:dyDescent="0.2">
      <c r="A461" s="242"/>
      <c r="B461" s="242"/>
      <c r="C461" s="242"/>
      <c r="D461" s="242"/>
      <c r="E461" s="242"/>
      <c r="F461" s="242"/>
      <c r="G461" s="242"/>
      <c r="H461" s="242"/>
      <c r="I461" s="242"/>
      <c r="J461" s="242"/>
      <c r="L461" s="685"/>
      <c r="M461" s="685"/>
    </row>
    <row r="462" spans="1:13" s="275" customFormat="1" x14ac:dyDescent="0.2">
      <c r="A462" s="564"/>
      <c r="B462" s="564"/>
      <c r="C462" s="564"/>
      <c r="D462" s="564"/>
      <c r="H462" s="564"/>
      <c r="I462" s="564"/>
      <c r="J462" s="564"/>
    </row>
    <row r="463" spans="1:13" s="275" customFormat="1" x14ac:dyDescent="0.2">
      <c r="A463" s="565"/>
      <c r="B463" s="565"/>
      <c r="C463" s="565"/>
      <c r="D463" s="565"/>
      <c r="H463" s="565"/>
      <c r="I463" s="565"/>
      <c r="J463" s="565"/>
    </row>
    <row r="464" spans="1:13" x14ac:dyDescent="0.2">
      <c r="A464" s="242"/>
      <c r="B464" s="242"/>
      <c r="C464" s="242"/>
      <c r="D464" s="242"/>
      <c r="E464" s="242"/>
      <c r="F464" s="242"/>
      <c r="G464" s="242"/>
      <c r="H464" s="242"/>
      <c r="I464" s="242"/>
      <c r="J464" s="242"/>
    </row>
    <row r="465" spans="1:10" x14ac:dyDescent="0.2">
      <c r="A465" s="242"/>
      <c r="B465" s="242"/>
      <c r="C465" s="242"/>
      <c r="D465" s="242"/>
      <c r="E465" s="242"/>
      <c r="F465" s="242"/>
      <c r="G465" s="242"/>
      <c r="H465" s="242"/>
      <c r="I465" s="242"/>
      <c r="J465" s="242"/>
    </row>
  </sheetData>
  <sheetProtection password="C7D3" sheet="1" objects="1" scenarios="1"/>
  <mergeCells count="933">
    <mergeCell ref="H462:J462"/>
    <mergeCell ref="H463:J463"/>
    <mergeCell ref="A462:D462"/>
    <mergeCell ref="A463:D463"/>
    <mergeCell ref="A49:D49"/>
    <mergeCell ref="E49:F49"/>
    <mergeCell ref="I49:J49"/>
    <mergeCell ref="A70:D70"/>
    <mergeCell ref="A71:D71"/>
    <mergeCell ref="A87:D87"/>
    <mergeCell ref="E86:F86"/>
    <mergeCell ref="A150:D150"/>
    <mergeCell ref="E150:F150"/>
    <mergeCell ref="I150:J150"/>
    <mergeCell ref="A147:D147"/>
    <mergeCell ref="E147:F147"/>
    <mergeCell ref="I147:J147"/>
    <mergeCell ref="A148:D148"/>
    <mergeCell ref="E148:F148"/>
    <mergeCell ref="I148:J148"/>
    <mergeCell ref="A145:D145"/>
    <mergeCell ref="E145:F145"/>
    <mergeCell ref="I145:J145"/>
    <mergeCell ref="A146:D146"/>
    <mergeCell ref="L460:M461"/>
    <mergeCell ref="A153:D153"/>
    <mergeCell ref="E153:F153"/>
    <mergeCell ref="I153:J153"/>
    <mergeCell ref="A155:H155"/>
    <mergeCell ref="I155:J155"/>
    <mergeCell ref="A156:H156"/>
    <mergeCell ref="I156:J156"/>
    <mergeCell ref="E151:F151"/>
    <mergeCell ref="A152:D152"/>
    <mergeCell ref="E152:F152"/>
    <mergeCell ref="A151:D151"/>
    <mergeCell ref="A185:C185"/>
    <mergeCell ref="G185:H185"/>
    <mergeCell ref="G183:H183"/>
    <mergeCell ref="A184:C184"/>
    <mergeCell ref="G184:H184"/>
    <mergeCell ref="F165:G165"/>
    <mergeCell ref="F166:G166"/>
    <mergeCell ref="G171:H171"/>
    <mergeCell ref="A167:C167"/>
    <mergeCell ref="A171:C171"/>
    <mergeCell ref="A188:C188"/>
    <mergeCell ref="G188:H188"/>
    <mergeCell ref="E146:F146"/>
    <mergeCell ref="I146:J146"/>
    <mergeCell ref="A143:D143"/>
    <mergeCell ref="E143:F143"/>
    <mergeCell ref="I143:J143"/>
    <mergeCell ref="A144:D144"/>
    <mergeCell ref="E144:F144"/>
    <mergeCell ref="I144:J144"/>
    <mergeCell ref="A141:D141"/>
    <mergeCell ref="E141:F141"/>
    <mergeCell ref="I141:J141"/>
    <mergeCell ref="A142:D142"/>
    <mergeCell ref="E142:F142"/>
    <mergeCell ref="I142:J142"/>
    <mergeCell ref="A138:H138"/>
    <mergeCell ref="I138:J138"/>
    <mergeCell ref="A139:F139"/>
    <mergeCell ref="H139:J139"/>
    <mergeCell ref="A140:D140"/>
    <mergeCell ref="E140:F140"/>
    <mergeCell ref="I140:J140"/>
    <mergeCell ref="A136:D136"/>
    <mergeCell ref="E136:F136"/>
    <mergeCell ref="I136:J136"/>
    <mergeCell ref="A137:D137"/>
    <mergeCell ref="E137:F137"/>
    <mergeCell ref="I137:J137"/>
    <mergeCell ref="A132:D132"/>
    <mergeCell ref="E132:F132"/>
    <mergeCell ref="I132:J132"/>
    <mergeCell ref="E135:F135"/>
    <mergeCell ref="I135:J135"/>
    <mergeCell ref="A134:D134"/>
    <mergeCell ref="E134:F134"/>
    <mergeCell ref="I134:J134"/>
    <mergeCell ref="A135:D135"/>
    <mergeCell ref="E133:F133"/>
    <mergeCell ref="A130:D130"/>
    <mergeCell ref="E130:F130"/>
    <mergeCell ref="I130:J130"/>
    <mergeCell ref="A131:D131"/>
    <mergeCell ref="E131:F131"/>
    <mergeCell ref="I131:J131"/>
    <mergeCell ref="A128:D128"/>
    <mergeCell ref="E128:F128"/>
    <mergeCell ref="I128:J128"/>
    <mergeCell ref="A129:D129"/>
    <mergeCell ref="E129:F129"/>
    <mergeCell ref="I129:J129"/>
    <mergeCell ref="A126:D126"/>
    <mergeCell ref="E126:F126"/>
    <mergeCell ref="I126:J126"/>
    <mergeCell ref="A127:D127"/>
    <mergeCell ref="E127:F127"/>
    <mergeCell ref="I127:J127"/>
    <mergeCell ref="A124:D124"/>
    <mergeCell ref="E124:F124"/>
    <mergeCell ref="I124:J124"/>
    <mergeCell ref="A125:D125"/>
    <mergeCell ref="E125:F125"/>
    <mergeCell ref="I125:J125"/>
    <mergeCell ref="A121:D121"/>
    <mergeCell ref="E121:F121"/>
    <mergeCell ref="I121:J121"/>
    <mergeCell ref="A122:H122"/>
    <mergeCell ref="I122:J122"/>
    <mergeCell ref="A123:F123"/>
    <mergeCell ref="H123:J123"/>
    <mergeCell ref="E119:F119"/>
    <mergeCell ref="I119:J119"/>
    <mergeCell ref="A118:D118"/>
    <mergeCell ref="E118:F118"/>
    <mergeCell ref="I118:J118"/>
    <mergeCell ref="A120:D120"/>
    <mergeCell ref="E120:F120"/>
    <mergeCell ref="I120:J120"/>
    <mergeCell ref="A119:D119"/>
    <mergeCell ref="A115:D115"/>
    <mergeCell ref="E115:F115"/>
    <mergeCell ref="I115:J115"/>
    <mergeCell ref="A116:D116"/>
    <mergeCell ref="E116:F116"/>
    <mergeCell ref="I116:J116"/>
    <mergeCell ref="E117:F117"/>
    <mergeCell ref="I117:J117"/>
    <mergeCell ref="A113:D113"/>
    <mergeCell ref="E113:F113"/>
    <mergeCell ref="I113:J113"/>
    <mergeCell ref="A114:D114"/>
    <mergeCell ref="E114:F114"/>
    <mergeCell ref="I114:J114"/>
    <mergeCell ref="A111:D111"/>
    <mergeCell ref="E111:F111"/>
    <mergeCell ref="I111:J111"/>
    <mergeCell ref="A112:D112"/>
    <mergeCell ref="E112:F112"/>
    <mergeCell ref="I112:J112"/>
    <mergeCell ref="A109:D109"/>
    <mergeCell ref="E109:F109"/>
    <mergeCell ref="I109:J109"/>
    <mergeCell ref="A110:D110"/>
    <mergeCell ref="E110:F110"/>
    <mergeCell ref="I110:J110"/>
    <mergeCell ref="I106:J106"/>
    <mergeCell ref="A107:F107"/>
    <mergeCell ref="H107:J107"/>
    <mergeCell ref="A108:D108"/>
    <mergeCell ref="E108:F108"/>
    <mergeCell ref="I108:J108"/>
    <mergeCell ref="A106:H106"/>
    <mergeCell ref="A104:D104"/>
    <mergeCell ref="E104:F104"/>
    <mergeCell ref="I104:J104"/>
    <mergeCell ref="A105:D105"/>
    <mergeCell ref="E105:F105"/>
    <mergeCell ref="I105:J105"/>
    <mergeCell ref="A100:D100"/>
    <mergeCell ref="E100:F100"/>
    <mergeCell ref="I100:J100"/>
    <mergeCell ref="E103:F103"/>
    <mergeCell ref="I103:J103"/>
    <mergeCell ref="A102:D102"/>
    <mergeCell ref="E102:F102"/>
    <mergeCell ref="I102:J102"/>
    <mergeCell ref="A103:D103"/>
    <mergeCell ref="A98:D98"/>
    <mergeCell ref="E98:F98"/>
    <mergeCell ref="I98:J98"/>
    <mergeCell ref="A99:D99"/>
    <mergeCell ref="E99:F99"/>
    <mergeCell ref="I99:J99"/>
    <mergeCell ref="A96:D96"/>
    <mergeCell ref="E96:F96"/>
    <mergeCell ref="I96:J96"/>
    <mergeCell ref="A97:D97"/>
    <mergeCell ref="E97:F97"/>
    <mergeCell ref="I97:J97"/>
    <mergeCell ref="A94:D94"/>
    <mergeCell ref="E94:F94"/>
    <mergeCell ref="I94:J94"/>
    <mergeCell ref="A95:D95"/>
    <mergeCell ref="E95:F95"/>
    <mergeCell ref="I95:J95"/>
    <mergeCell ref="A92:D92"/>
    <mergeCell ref="E92:F92"/>
    <mergeCell ref="I92:J92"/>
    <mergeCell ref="A93:D93"/>
    <mergeCell ref="E93:F93"/>
    <mergeCell ref="I93:J93"/>
    <mergeCell ref="A89:D89"/>
    <mergeCell ref="E89:F89"/>
    <mergeCell ref="I89:J89"/>
    <mergeCell ref="A90:H90"/>
    <mergeCell ref="I90:J90"/>
    <mergeCell ref="A91:F91"/>
    <mergeCell ref="H91:J91"/>
    <mergeCell ref="I88:J88"/>
    <mergeCell ref="A83:D83"/>
    <mergeCell ref="E83:F83"/>
    <mergeCell ref="I83:J83"/>
    <mergeCell ref="A84:D84"/>
    <mergeCell ref="E84:F84"/>
    <mergeCell ref="I84:J84"/>
    <mergeCell ref="E87:F87"/>
    <mergeCell ref="I87:J87"/>
    <mergeCell ref="A86:D86"/>
    <mergeCell ref="I86:J86"/>
    <mergeCell ref="A88:D88"/>
    <mergeCell ref="E88:F88"/>
    <mergeCell ref="A81:D81"/>
    <mergeCell ref="E81:F81"/>
    <mergeCell ref="I81:J81"/>
    <mergeCell ref="A82:D82"/>
    <mergeCell ref="E82:F82"/>
    <mergeCell ref="I82:J82"/>
    <mergeCell ref="A79:D79"/>
    <mergeCell ref="E79:F79"/>
    <mergeCell ref="I79:J79"/>
    <mergeCell ref="A80:D80"/>
    <mergeCell ref="E80:F80"/>
    <mergeCell ref="I80:J80"/>
    <mergeCell ref="A77:D77"/>
    <mergeCell ref="E77:F77"/>
    <mergeCell ref="I77:J77"/>
    <mergeCell ref="A78:D78"/>
    <mergeCell ref="E78:F78"/>
    <mergeCell ref="I78:J78"/>
    <mergeCell ref="A74:H74"/>
    <mergeCell ref="I74:J74"/>
    <mergeCell ref="A75:F75"/>
    <mergeCell ref="H75:J75"/>
    <mergeCell ref="A76:D76"/>
    <mergeCell ref="E76:F76"/>
    <mergeCell ref="I76:J76"/>
    <mergeCell ref="A72:D72"/>
    <mergeCell ref="E72:F72"/>
    <mergeCell ref="I72:J72"/>
    <mergeCell ref="A73:D73"/>
    <mergeCell ref="E73:F73"/>
    <mergeCell ref="I73:J73"/>
    <mergeCell ref="A68:D68"/>
    <mergeCell ref="E68:F68"/>
    <mergeCell ref="I68:J68"/>
    <mergeCell ref="E71:F71"/>
    <mergeCell ref="I71:J71"/>
    <mergeCell ref="E70:F70"/>
    <mergeCell ref="I70:J70"/>
    <mergeCell ref="E69:F69"/>
    <mergeCell ref="I69:J69"/>
    <mergeCell ref="A66:D66"/>
    <mergeCell ref="E66:F66"/>
    <mergeCell ref="I66:J66"/>
    <mergeCell ref="A67:D67"/>
    <mergeCell ref="E67:F67"/>
    <mergeCell ref="I67:J67"/>
    <mergeCell ref="A64:D64"/>
    <mergeCell ref="E64:F64"/>
    <mergeCell ref="I64:J64"/>
    <mergeCell ref="A65:D65"/>
    <mergeCell ref="E65:F65"/>
    <mergeCell ref="I65:J65"/>
    <mergeCell ref="A62:D62"/>
    <mergeCell ref="E62:F62"/>
    <mergeCell ref="I62:J62"/>
    <mergeCell ref="A63:D63"/>
    <mergeCell ref="E63:F63"/>
    <mergeCell ref="I63:J63"/>
    <mergeCell ref="A60:D60"/>
    <mergeCell ref="E60:F60"/>
    <mergeCell ref="I60:J60"/>
    <mergeCell ref="A61:D61"/>
    <mergeCell ref="E61:F61"/>
    <mergeCell ref="I61:J61"/>
    <mergeCell ref="A57:D57"/>
    <mergeCell ref="E57:F57"/>
    <mergeCell ref="I57:J57"/>
    <mergeCell ref="A58:H58"/>
    <mergeCell ref="I58:J58"/>
    <mergeCell ref="A59:F59"/>
    <mergeCell ref="H59:J59"/>
    <mergeCell ref="A55:D55"/>
    <mergeCell ref="E55:F55"/>
    <mergeCell ref="I55:J55"/>
    <mergeCell ref="A56:D56"/>
    <mergeCell ref="E56:F56"/>
    <mergeCell ref="I56:J56"/>
    <mergeCell ref="A52:D52"/>
    <mergeCell ref="E52:F52"/>
    <mergeCell ref="I52:J52"/>
    <mergeCell ref="A54:D54"/>
    <mergeCell ref="E54:F54"/>
    <mergeCell ref="I54:J54"/>
    <mergeCell ref="E53:F53"/>
    <mergeCell ref="I53:J53"/>
    <mergeCell ref="A50:D50"/>
    <mergeCell ref="E50:F50"/>
    <mergeCell ref="I50:J50"/>
    <mergeCell ref="A51:D51"/>
    <mergeCell ref="E51:F51"/>
    <mergeCell ref="I51:J51"/>
    <mergeCell ref="A48:D48"/>
    <mergeCell ref="E48:F48"/>
    <mergeCell ref="I48:J48"/>
    <mergeCell ref="A47:D47"/>
    <mergeCell ref="E47:F47"/>
    <mergeCell ref="I47:J47"/>
    <mergeCell ref="A45:D45"/>
    <mergeCell ref="E45:F45"/>
    <mergeCell ref="I45:J45"/>
    <mergeCell ref="A46:D46"/>
    <mergeCell ref="E46:F46"/>
    <mergeCell ref="I46:J46"/>
    <mergeCell ref="A42:H42"/>
    <mergeCell ref="I42:J42"/>
    <mergeCell ref="H43:J43"/>
    <mergeCell ref="A44:D44"/>
    <mergeCell ref="E44:F44"/>
    <mergeCell ref="I44:J44"/>
    <mergeCell ref="A40:D40"/>
    <mergeCell ref="E40:F40"/>
    <mergeCell ref="I40:J40"/>
    <mergeCell ref="A39:D39"/>
    <mergeCell ref="A41:D41"/>
    <mergeCell ref="E41:F41"/>
    <mergeCell ref="I41:J41"/>
    <mergeCell ref="A36:D36"/>
    <mergeCell ref="E36:F36"/>
    <mergeCell ref="I36:J36"/>
    <mergeCell ref="E39:F39"/>
    <mergeCell ref="I39:J39"/>
    <mergeCell ref="A38:D38"/>
    <mergeCell ref="E38:F38"/>
    <mergeCell ref="I38:J38"/>
    <mergeCell ref="E37:F37"/>
    <mergeCell ref="I37:J37"/>
    <mergeCell ref="A34:D34"/>
    <mergeCell ref="E34:F34"/>
    <mergeCell ref="I34:J34"/>
    <mergeCell ref="A35:D35"/>
    <mergeCell ref="E35:F35"/>
    <mergeCell ref="I35:J35"/>
    <mergeCell ref="A32:D32"/>
    <mergeCell ref="E32:F32"/>
    <mergeCell ref="I32:J32"/>
    <mergeCell ref="A33:D33"/>
    <mergeCell ref="E33:F33"/>
    <mergeCell ref="I33:J33"/>
    <mergeCell ref="A30:D30"/>
    <mergeCell ref="E30:F30"/>
    <mergeCell ref="I30:J30"/>
    <mergeCell ref="A31:D31"/>
    <mergeCell ref="E31:F31"/>
    <mergeCell ref="I31:J31"/>
    <mergeCell ref="A28:D28"/>
    <mergeCell ref="E28:F28"/>
    <mergeCell ref="I28:J28"/>
    <mergeCell ref="A29:D29"/>
    <mergeCell ref="E29:F29"/>
    <mergeCell ref="I29:J29"/>
    <mergeCell ref="A25:D25"/>
    <mergeCell ref="E25:F25"/>
    <mergeCell ref="I25:J25"/>
    <mergeCell ref="A26:H26"/>
    <mergeCell ref="I26:J26"/>
    <mergeCell ref="A27:F27"/>
    <mergeCell ref="H27:J27"/>
    <mergeCell ref="A23:D23"/>
    <mergeCell ref="E23:F23"/>
    <mergeCell ref="I23:J23"/>
    <mergeCell ref="A24:D24"/>
    <mergeCell ref="E24:F24"/>
    <mergeCell ref="I24:J24"/>
    <mergeCell ref="A20:D20"/>
    <mergeCell ref="E20:F20"/>
    <mergeCell ref="I20:J20"/>
    <mergeCell ref="A22:D22"/>
    <mergeCell ref="E22:F22"/>
    <mergeCell ref="I22:J22"/>
    <mergeCell ref="E21:F21"/>
    <mergeCell ref="I21:J21"/>
    <mergeCell ref="A18:D18"/>
    <mergeCell ref="E18:F18"/>
    <mergeCell ref="I18:J18"/>
    <mergeCell ref="E17:F17"/>
    <mergeCell ref="I17:J17"/>
    <mergeCell ref="A19:D19"/>
    <mergeCell ref="E19:F19"/>
    <mergeCell ref="I19:J19"/>
    <mergeCell ref="A15:D15"/>
    <mergeCell ref="E15:F15"/>
    <mergeCell ref="I15:J15"/>
    <mergeCell ref="A16:D16"/>
    <mergeCell ref="E16:F16"/>
    <mergeCell ref="I16:J16"/>
    <mergeCell ref="E12:F12"/>
    <mergeCell ref="H12:J12"/>
    <mergeCell ref="A13:D13"/>
    <mergeCell ref="E13:F13"/>
    <mergeCell ref="I13:J13"/>
    <mergeCell ref="A14:D14"/>
    <mergeCell ref="E14:F14"/>
    <mergeCell ref="I14:J14"/>
    <mergeCell ref="A12:D12"/>
    <mergeCell ref="I8:J8"/>
    <mergeCell ref="I9:J9"/>
    <mergeCell ref="A4:J4"/>
    <mergeCell ref="A5:B6"/>
    <mergeCell ref="C5:J6"/>
    <mergeCell ref="A7:B7"/>
    <mergeCell ref="C7:J7"/>
    <mergeCell ref="A182:C182"/>
    <mergeCell ref="A181:C181"/>
    <mergeCell ref="A180:C180"/>
    <mergeCell ref="G182:H182"/>
    <mergeCell ref="A179:C179"/>
    <mergeCell ref="A172:C172"/>
    <mergeCell ref="A175:C175"/>
    <mergeCell ref="G175:H175"/>
    <mergeCell ref="G181:H181"/>
    <mergeCell ref="A176:C176"/>
    <mergeCell ref="G176:H176"/>
    <mergeCell ref="A177:C177"/>
    <mergeCell ref="G177:H177"/>
    <mergeCell ref="A178:C178"/>
    <mergeCell ref="G178:H178"/>
    <mergeCell ref="A164:C164"/>
    <mergeCell ref="F164:G164"/>
    <mergeCell ref="G180:H180"/>
    <mergeCell ref="G172:H172"/>
    <mergeCell ref="A165:C165"/>
    <mergeCell ref="A166:C166"/>
    <mergeCell ref="A173:C173"/>
    <mergeCell ref="G173:H173"/>
    <mergeCell ref="A174:C174"/>
    <mergeCell ref="G174:H174"/>
    <mergeCell ref="A187:H187"/>
    <mergeCell ref="G179:H179"/>
    <mergeCell ref="A191:C191"/>
    <mergeCell ref="G191:H191"/>
    <mergeCell ref="A192:C192"/>
    <mergeCell ref="G192:H192"/>
    <mergeCell ref="A189:C189"/>
    <mergeCell ref="G189:H189"/>
    <mergeCell ref="A190:C190"/>
    <mergeCell ref="G190:H190"/>
    <mergeCell ref="A193:C193"/>
    <mergeCell ref="G193:H193"/>
    <mergeCell ref="A194:C194"/>
    <mergeCell ref="G194:H194"/>
    <mergeCell ref="A195:C195"/>
    <mergeCell ref="G195:H195"/>
    <mergeCell ref="A196:C196"/>
    <mergeCell ref="G196:H196"/>
    <mergeCell ref="G200:H200"/>
    <mergeCell ref="A201:C201"/>
    <mergeCell ref="G201:H201"/>
    <mergeCell ref="A202:C202"/>
    <mergeCell ref="G202:H202"/>
    <mergeCell ref="A197:C197"/>
    <mergeCell ref="G197:H197"/>
    <mergeCell ref="A198:C198"/>
    <mergeCell ref="G198:H198"/>
    <mergeCell ref="A199:C199"/>
    <mergeCell ref="A205:C205"/>
    <mergeCell ref="G205:H205"/>
    <mergeCell ref="G199:H199"/>
    <mergeCell ref="A206:C206"/>
    <mergeCell ref="G206:H206"/>
    <mergeCell ref="A207:C207"/>
    <mergeCell ref="G207:H207"/>
    <mergeCell ref="A208:C208"/>
    <mergeCell ref="G208:H208"/>
    <mergeCell ref="A209:C209"/>
    <mergeCell ref="G209:H209"/>
    <mergeCell ref="A210:C210"/>
    <mergeCell ref="G210:H210"/>
    <mergeCell ref="A211:C211"/>
    <mergeCell ref="G211:H211"/>
    <mergeCell ref="A212:C212"/>
    <mergeCell ref="G212:H212"/>
    <mergeCell ref="A213:C213"/>
    <mergeCell ref="G213:H213"/>
    <mergeCell ref="G217:H217"/>
    <mergeCell ref="A218:C218"/>
    <mergeCell ref="G218:H218"/>
    <mergeCell ref="A219:C219"/>
    <mergeCell ref="G219:H219"/>
    <mergeCell ref="A214:C214"/>
    <mergeCell ref="G214:H214"/>
    <mergeCell ref="A215:C215"/>
    <mergeCell ref="G215:H215"/>
    <mergeCell ref="A216:C216"/>
    <mergeCell ref="A222:C222"/>
    <mergeCell ref="G222:H222"/>
    <mergeCell ref="G216:H216"/>
    <mergeCell ref="A223:C223"/>
    <mergeCell ref="G223:H223"/>
    <mergeCell ref="A224:C224"/>
    <mergeCell ref="G224:H224"/>
    <mergeCell ref="A225:C225"/>
    <mergeCell ref="G225:H225"/>
    <mergeCell ref="A226:C226"/>
    <mergeCell ref="G226:H226"/>
    <mergeCell ref="A227:C227"/>
    <mergeCell ref="G227:H227"/>
    <mergeCell ref="A228:C228"/>
    <mergeCell ref="G228:H228"/>
    <mergeCell ref="A229:C229"/>
    <mergeCell ref="G229:H229"/>
    <mergeCell ref="A230:C230"/>
    <mergeCell ref="G230:H230"/>
    <mergeCell ref="A231:C231"/>
    <mergeCell ref="G231:H231"/>
    <mergeCell ref="A232:C232"/>
    <mergeCell ref="G232:H232"/>
    <mergeCell ref="G233:H233"/>
    <mergeCell ref="A234:C234"/>
    <mergeCell ref="G234:H234"/>
    <mergeCell ref="A235:C235"/>
    <mergeCell ref="G235:H235"/>
    <mergeCell ref="G457:H457"/>
    <mergeCell ref="A238:C238"/>
    <mergeCell ref="G238:H238"/>
    <mergeCell ref="A239:C239"/>
    <mergeCell ref="G239:H239"/>
    <mergeCell ref="A240:C240"/>
    <mergeCell ref="G240:H240"/>
    <mergeCell ref="A273:C273"/>
    <mergeCell ref="A241:C241"/>
    <mergeCell ref="G241:H241"/>
    <mergeCell ref="A242:C242"/>
    <mergeCell ref="G242:H242"/>
    <mergeCell ref="A243:C243"/>
    <mergeCell ref="G243:H243"/>
    <mergeCell ref="G249:H249"/>
    <mergeCell ref="A244:C244"/>
    <mergeCell ref="G244:H244"/>
    <mergeCell ref="A245:C245"/>
    <mergeCell ref="G245:H245"/>
    <mergeCell ref="G259:H259"/>
    <mergeCell ref="G250:H250"/>
    <mergeCell ref="A251:C251"/>
    <mergeCell ref="G251:H251"/>
    <mergeCell ref="A252:C252"/>
    <mergeCell ref="G252:H252"/>
    <mergeCell ref="A261:C261"/>
    <mergeCell ref="G261:H261"/>
    <mergeCell ref="A262:C262"/>
    <mergeCell ref="G262:H262"/>
    <mergeCell ref="G256:H256"/>
    <mergeCell ref="A257:C257"/>
    <mergeCell ref="G257:H257"/>
    <mergeCell ref="A258:C258"/>
    <mergeCell ref="G258:H258"/>
    <mergeCell ref="A259:C259"/>
    <mergeCell ref="A263:C263"/>
    <mergeCell ref="G263:H263"/>
    <mergeCell ref="A268:C268"/>
    <mergeCell ref="G268:H268"/>
    <mergeCell ref="A237:H237"/>
    <mergeCell ref="A254:H254"/>
    <mergeCell ref="A260:C260"/>
    <mergeCell ref="G260:H260"/>
    <mergeCell ref="G265:H265"/>
    <mergeCell ref="G266:H266"/>
    <mergeCell ref="A246:C246"/>
    <mergeCell ref="G246:H246"/>
    <mergeCell ref="A255:C255"/>
    <mergeCell ref="G255:H255"/>
    <mergeCell ref="A256:C256"/>
    <mergeCell ref="A247:C247"/>
    <mergeCell ref="G247:H247"/>
    <mergeCell ref="A248:C248"/>
    <mergeCell ref="G248:H248"/>
    <mergeCell ref="A249:C249"/>
    <mergeCell ref="A270:H270"/>
    <mergeCell ref="A271:C271"/>
    <mergeCell ref="G271:H271"/>
    <mergeCell ref="A264:C264"/>
    <mergeCell ref="G264:H264"/>
    <mergeCell ref="A265:C265"/>
    <mergeCell ref="A267:C267"/>
    <mergeCell ref="G267:H267"/>
    <mergeCell ref="G273:H273"/>
    <mergeCell ref="A272:C272"/>
    <mergeCell ref="G272:H272"/>
    <mergeCell ref="A274:C274"/>
    <mergeCell ref="G274:H274"/>
    <mergeCell ref="A275:C275"/>
    <mergeCell ref="G275:H275"/>
    <mergeCell ref="A276:C276"/>
    <mergeCell ref="G276:H276"/>
    <mergeCell ref="A277:C277"/>
    <mergeCell ref="G277:H277"/>
    <mergeCell ref="A278:C278"/>
    <mergeCell ref="G278:H278"/>
    <mergeCell ref="A279:C279"/>
    <mergeCell ref="G279:H279"/>
    <mergeCell ref="A280:C280"/>
    <mergeCell ref="G280:H280"/>
    <mergeCell ref="A281:C281"/>
    <mergeCell ref="G281:H281"/>
    <mergeCell ref="A282:C282"/>
    <mergeCell ref="G282:H282"/>
    <mergeCell ref="G283:H283"/>
    <mergeCell ref="A284:C284"/>
    <mergeCell ref="G284:H284"/>
    <mergeCell ref="A285:C285"/>
    <mergeCell ref="G285:H285"/>
    <mergeCell ref="A287:H287"/>
    <mergeCell ref="A288:C288"/>
    <mergeCell ref="G288:H288"/>
    <mergeCell ref="A289:C289"/>
    <mergeCell ref="G289:H289"/>
    <mergeCell ref="A290:C290"/>
    <mergeCell ref="G290:H290"/>
    <mergeCell ref="A291:C291"/>
    <mergeCell ref="G291:H291"/>
    <mergeCell ref="A292:C292"/>
    <mergeCell ref="G292:H292"/>
    <mergeCell ref="A293:C293"/>
    <mergeCell ref="G293:H293"/>
    <mergeCell ref="A294:C294"/>
    <mergeCell ref="G294:H294"/>
    <mergeCell ref="A295:C295"/>
    <mergeCell ref="G295:H295"/>
    <mergeCell ref="A296:C296"/>
    <mergeCell ref="G296:H296"/>
    <mergeCell ref="A297:C297"/>
    <mergeCell ref="G297:H297"/>
    <mergeCell ref="A298:C298"/>
    <mergeCell ref="G298:H298"/>
    <mergeCell ref="G299:H299"/>
    <mergeCell ref="A300:C300"/>
    <mergeCell ref="G300:H300"/>
    <mergeCell ref="A301:C301"/>
    <mergeCell ref="G301:H301"/>
    <mergeCell ref="A303:H303"/>
    <mergeCell ref="A304:C304"/>
    <mergeCell ref="G304:H304"/>
    <mergeCell ref="A305:C305"/>
    <mergeCell ref="G305:H305"/>
    <mergeCell ref="A306:C306"/>
    <mergeCell ref="G306:H306"/>
    <mergeCell ref="A307:C307"/>
    <mergeCell ref="G307:H307"/>
    <mergeCell ref="A308:C308"/>
    <mergeCell ref="G308:H308"/>
    <mergeCell ref="A309:C309"/>
    <mergeCell ref="G309:H309"/>
    <mergeCell ref="A310:C310"/>
    <mergeCell ref="G310:H310"/>
    <mergeCell ref="A311:C311"/>
    <mergeCell ref="G311:H311"/>
    <mergeCell ref="A312:C312"/>
    <mergeCell ref="G312:H312"/>
    <mergeCell ref="A313:C313"/>
    <mergeCell ref="G313:H313"/>
    <mergeCell ref="A314:C314"/>
    <mergeCell ref="G314:H314"/>
    <mergeCell ref="A315:C315"/>
    <mergeCell ref="G315:H315"/>
    <mergeCell ref="G316:H316"/>
    <mergeCell ref="A317:C317"/>
    <mergeCell ref="G317:H317"/>
    <mergeCell ref="A318:C318"/>
    <mergeCell ref="G318:H318"/>
    <mergeCell ref="A320:H320"/>
    <mergeCell ref="A321:C321"/>
    <mergeCell ref="G321:H321"/>
    <mergeCell ref="A322:C322"/>
    <mergeCell ref="G322:H322"/>
    <mergeCell ref="A323:C323"/>
    <mergeCell ref="G323:H323"/>
    <mergeCell ref="A324:C324"/>
    <mergeCell ref="G324:H324"/>
    <mergeCell ref="A325:C325"/>
    <mergeCell ref="G325:H325"/>
    <mergeCell ref="A326:C326"/>
    <mergeCell ref="G326:H326"/>
    <mergeCell ref="A327:C327"/>
    <mergeCell ref="G327:H327"/>
    <mergeCell ref="A328:C328"/>
    <mergeCell ref="G328:H328"/>
    <mergeCell ref="A329:C329"/>
    <mergeCell ref="G329:H329"/>
    <mergeCell ref="A330:C330"/>
    <mergeCell ref="G330:H330"/>
    <mergeCell ref="A331:C331"/>
    <mergeCell ref="G331:H331"/>
    <mergeCell ref="G332:H332"/>
    <mergeCell ref="A333:C333"/>
    <mergeCell ref="G333:H333"/>
    <mergeCell ref="A334:C334"/>
    <mergeCell ref="G334:H334"/>
    <mergeCell ref="A336:H336"/>
    <mergeCell ref="A337:C337"/>
    <mergeCell ref="G337:H337"/>
    <mergeCell ref="A338:C338"/>
    <mergeCell ref="G338:H338"/>
    <mergeCell ref="A339:C339"/>
    <mergeCell ref="G339:H339"/>
    <mergeCell ref="A340:C340"/>
    <mergeCell ref="G340:H340"/>
    <mergeCell ref="A341:C341"/>
    <mergeCell ref="G341:H341"/>
    <mergeCell ref="A342:C342"/>
    <mergeCell ref="G342:H342"/>
    <mergeCell ref="A343:C343"/>
    <mergeCell ref="G343:H343"/>
    <mergeCell ref="A344:C344"/>
    <mergeCell ref="G344:H344"/>
    <mergeCell ref="A345:C345"/>
    <mergeCell ref="G345:H345"/>
    <mergeCell ref="A346:C346"/>
    <mergeCell ref="G346:H346"/>
    <mergeCell ref="A347:C347"/>
    <mergeCell ref="G347:H347"/>
    <mergeCell ref="A348:C348"/>
    <mergeCell ref="G348:H348"/>
    <mergeCell ref="G349:H349"/>
    <mergeCell ref="A350:C350"/>
    <mergeCell ref="G350:H350"/>
    <mergeCell ref="A351:C351"/>
    <mergeCell ref="G351:H351"/>
    <mergeCell ref="A353:H353"/>
    <mergeCell ref="A354:C354"/>
    <mergeCell ref="G354:H354"/>
    <mergeCell ref="A355:C355"/>
    <mergeCell ref="G355:H355"/>
    <mergeCell ref="A356:C356"/>
    <mergeCell ref="G356:H356"/>
    <mergeCell ref="A357:C357"/>
    <mergeCell ref="G357:H357"/>
    <mergeCell ref="A358:C358"/>
    <mergeCell ref="G358:H358"/>
    <mergeCell ref="A359:C359"/>
    <mergeCell ref="G359:H359"/>
    <mergeCell ref="A360:C360"/>
    <mergeCell ref="G360:H360"/>
    <mergeCell ref="A361:C361"/>
    <mergeCell ref="G361:H361"/>
    <mergeCell ref="A362:C362"/>
    <mergeCell ref="G362:H362"/>
    <mergeCell ref="A363:C363"/>
    <mergeCell ref="G363:H363"/>
    <mergeCell ref="A364:C364"/>
    <mergeCell ref="G364:H364"/>
    <mergeCell ref="G365:H365"/>
    <mergeCell ref="A366:C366"/>
    <mergeCell ref="G366:H366"/>
    <mergeCell ref="A367:C367"/>
    <mergeCell ref="G367:H367"/>
    <mergeCell ref="A369:H369"/>
    <mergeCell ref="A370:C370"/>
    <mergeCell ref="G370:H370"/>
    <mergeCell ref="A371:C371"/>
    <mergeCell ref="G371:H371"/>
    <mergeCell ref="A372:C372"/>
    <mergeCell ref="G372:H372"/>
    <mergeCell ref="A373:C373"/>
    <mergeCell ref="G373:H373"/>
    <mergeCell ref="A374:C374"/>
    <mergeCell ref="G374:H374"/>
    <mergeCell ref="A375:C375"/>
    <mergeCell ref="G375:H375"/>
    <mergeCell ref="A376:C376"/>
    <mergeCell ref="G376:H376"/>
    <mergeCell ref="A377:C377"/>
    <mergeCell ref="G377:H377"/>
    <mergeCell ref="A378:C378"/>
    <mergeCell ref="G378:H378"/>
    <mergeCell ref="A379:C379"/>
    <mergeCell ref="G379:H379"/>
    <mergeCell ref="A380:C380"/>
    <mergeCell ref="G380:H380"/>
    <mergeCell ref="A381:C381"/>
    <mergeCell ref="G381:H381"/>
    <mergeCell ref="G382:H382"/>
    <mergeCell ref="A383:C383"/>
    <mergeCell ref="G383:H383"/>
    <mergeCell ref="A384:C384"/>
    <mergeCell ref="G384:H384"/>
    <mergeCell ref="A386:H386"/>
    <mergeCell ref="A387:C387"/>
    <mergeCell ref="G387:H387"/>
    <mergeCell ref="A388:C388"/>
    <mergeCell ref="G388:H388"/>
    <mergeCell ref="A389:C389"/>
    <mergeCell ref="G389:H389"/>
    <mergeCell ref="A390:C390"/>
    <mergeCell ref="G390:H390"/>
    <mergeCell ref="A391:C391"/>
    <mergeCell ref="G391:H391"/>
    <mergeCell ref="A392:C392"/>
    <mergeCell ref="G392:H392"/>
    <mergeCell ref="A393:C393"/>
    <mergeCell ref="G393:H393"/>
    <mergeCell ref="A394:C394"/>
    <mergeCell ref="G394:H394"/>
    <mergeCell ref="A395:C395"/>
    <mergeCell ref="G395:H395"/>
    <mergeCell ref="A396:C396"/>
    <mergeCell ref="G396:H396"/>
    <mergeCell ref="A397:C397"/>
    <mergeCell ref="G397:H397"/>
    <mergeCell ref="G398:H398"/>
    <mergeCell ref="A399:C399"/>
    <mergeCell ref="G399:H399"/>
    <mergeCell ref="A400:C400"/>
    <mergeCell ref="G400:H400"/>
    <mergeCell ref="A402:H402"/>
    <mergeCell ref="A403:C403"/>
    <mergeCell ref="G403:H403"/>
    <mergeCell ref="A404:C404"/>
    <mergeCell ref="G404:H404"/>
    <mergeCell ref="A405:C405"/>
    <mergeCell ref="G405:H405"/>
    <mergeCell ref="A406:C406"/>
    <mergeCell ref="G406:H406"/>
    <mergeCell ref="A407:C407"/>
    <mergeCell ref="G407:H407"/>
    <mergeCell ref="A408:C408"/>
    <mergeCell ref="G408:H408"/>
    <mergeCell ref="A409:C409"/>
    <mergeCell ref="G409:H409"/>
    <mergeCell ref="A410:C410"/>
    <mergeCell ref="G410:H410"/>
    <mergeCell ref="A411:C411"/>
    <mergeCell ref="G411:H411"/>
    <mergeCell ref="A412:C412"/>
    <mergeCell ref="G412:H412"/>
    <mergeCell ref="A413:C413"/>
    <mergeCell ref="G413:H413"/>
    <mergeCell ref="A414:C414"/>
    <mergeCell ref="G414:H414"/>
    <mergeCell ref="G415:H415"/>
    <mergeCell ref="A416:C416"/>
    <mergeCell ref="G416:H416"/>
    <mergeCell ref="A417:C417"/>
    <mergeCell ref="G417:H417"/>
    <mergeCell ref="A419:H419"/>
    <mergeCell ref="A420:C420"/>
    <mergeCell ref="G420:H420"/>
    <mergeCell ref="A421:C421"/>
    <mergeCell ref="G421:H421"/>
    <mergeCell ref="A422:C422"/>
    <mergeCell ref="G422:H422"/>
    <mergeCell ref="A423:C423"/>
    <mergeCell ref="G423:H423"/>
    <mergeCell ref="A424:C424"/>
    <mergeCell ref="G424:H424"/>
    <mergeCell ref="A425:C425"/>
    <mergeCell ref="G425:H425"/>
    <mergeCell ref="A426:C426"/>
    <mergeCell ref="G426:H426"/>
    <mergeCell ref="A427:C427"/>
    <mergeCell ref="G427:H427"/>
    <mergeCell ref="A428:C428"/>
    <mergeCell ref="G428:H428"/>
    <mergeCell ref="A429:C429"/>
    <mergeCell ref="G429:H429"/>
    <mergeCell ref="A430:C430"/>
    <mergeCell ref="G430:H430"/>
    <mergeCell ref="G431:H431"/>
    <mergeCell ref="A432:C432"/>
    <mergeCell ref="G432:H432"/>
    <mergeCell ref="A433:C433"/>
    <mergeCell ref="G433:H433"/>
    <mergeCell ref="A435:H435"/>
    <mergeCell ref="A436:C436"/>
    <mergeCell ref="G436:H436"/>
    <mergeCell ref="A437:C437"/>
    <mergeCell ref="G437:H437"/>
    <mergeCell ref="A438:C438"/>
    <mergeCell ref="G438:H438"/>
    <mergeCell ref="A439:C439"/>
    <mergeCell ref="G439:H439"/>
    <mergeCell ref="A440:C440"/>
    <mergeCell ref="G440:H440"/>
    <mergeCell ref="A441:C441"/>
    <mergeCell ref="G441:H441"/>
    <mergeCell ref="A442:C442"/>
    <mergeCell ref="G442:H442"/>
    <mergeCell ref="A443:C443"/>
    <mergeCell ref="G443:H443"/>
    <mergeCell ref="A444:C444"/>
    <mergeCell ref="G444:H444"/>
    <mergeCell ref="A445:C445"/>
    <mergeCell ref="G445:H445"/>
    <mergeCell ref="A446:C446"/>
    <mergeCell ref="G446:H446"/>
    <mergeCell ref="A454:C454"/>
    <mergeCell ref="F454:G454"/>
    <mergeCell ref="A447:C447"/>
    <mergeCell ref="G447:H447"/>
    <mergeCell ref="G448:H448"/>
    <mergeCell ref="A449:C449"/>
    <mergeCell ref="G449:H449"/>
    <mergeCell ref="A450:C450"/>
    <mergeCell ref="G450:H450"/>
    <mergeCell ref="I10:J10"/>
    <mergeCell ref="A11:J11"/>
    <mergeCell ref="A43:F43"/>
    <mergeCell ref="A158:J158"/>
    <mergeCell ref="A161:J161"/>
    <mergeCell ref="A457:F457"/>
    <mergeCell ref="A163:H163"/>
    <mergeCell ref="A169:H169"/>
    <mergeCell ref="A170:H170"/>
    <mergeCell ref="A204:H204"/>
    <mergeCell ref="A221:H221"/>
    <mergeCell ref="A452:H452"/>
    <mergeCell ref="A455:C455"/>
    <mergeCell ref="A453:C453"/>
    <mergeCell ref="F453:G453"/>
    <mergeCell ref="I133:J133"/>
    <mergeCell ref="E149:F149"/>
    <mergeCell ref="I149:J149"/>
    <mergeCell ref="I152:J152"/>
    <mergeCell ref="I151:J151"/>
    <mergeCell ref="E85:F85"/>
    <mergeCell ref="I85:J85"/>
    <mergeCell ref="E101:F101"/>
    <mergeCell ref="I101:J101"/>
  </mergeCells>
  <pageMargins left="0.70866141732283472" right="0.31496062992125984" top="0.78740157480314965" bottom="0.78740157480314965" header="0.31496062992125984" footer="0.31496062992125984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62"/>
  <sheetViews>
    <sheetView showGridLines="0" view="pageBreakPreview" zoomScaleNormal="100" zoomScaleSheetLayoutView="100" workbookViewId="0">
      <selection activeCell="E26" activeCellId="9" sqref="D343:D353 D178:D188 D161:D171 D144:D154 E134:F134 E58:F58 E42:F42 I42:J42 I26:J26 E26:F26"/>
    </sheetView>
  </sheetViews>
  <sheetFormatPr defaultRowHeight="12.75" x14ac:dyDescent="0.2"/>
  <cols>
    <col min="1" max="3" width="9.140625" style="238"/>
    <col min="4" max="4" width="10.7109375" style="238" customWidth="1"/>
    <col min="5" max="5" width="10.85546875" style="238" customWidth="1"/>
    <col min="6" max="6" width="9.140625" style="238"/>
    <col min="7" max="7" width="4.140625" style="238" customWidth="1"/>
    <col min="8" max="8" width="34.42578125" style="238" customWidth="1"/>
    <col min="9" max="11" width="9.140625" style="238"/>
    <col min="12" max="12" width="10.140625" style="238" bestFit="1" customWidth="1"/>
    <col min="13" max="16384" width="9.140625" style="238"/>
  </cols>
  <sheetData>
    <row r="1" spans="1:16" x14ac:dyDescent="0.2">
      <c r="A1" s="313" t="s">
        <v>361</v>
      </c>
    </row>
    <row r="2" spans="1:16" x14ac:dyDescent="0.2">
      <c r="A2" s="279" t="s">
        <v>362</v>
      </c>
    </row>
    <row r="3" spans="1:16" ht="57" customHeight="1" x14ac:dyDescent="0.2"/>
    <row r="5" spans="1:16" x14ac:dyDescent="0.2">
      <c r="A5" s="696" t="s">
        <v>211</v>
      </c>
      <c r="B5" s="696"/>
      <c r="C5" s="696"/>
      <c r="D5" s="696"/>
      <c r="E5" s="696"/>
      <c r="F5" s="696"/>
      <c r="G5" s="696"/>
      <c r="H5" s="696"/>
      <c r="I5" s="696"/>
      <c r="J5" s="696"/>
    </row>
    <row r="6" spans="1:16" x14ac:dyDescent="0.2">
      <c r="A6" s="252"/>
      <c r="B6" s="253"/>
      <c r="C6" s="253"/>
      <c r="D6" s="253"/>
      <c r="E6" s="254"/>
      <c r="F6" s="254"/>
      <c r="G6" s="255"/>
      <c r="H6" s="255"/>
      <c r="I6" s="255"/>
      <c r="J6" s="256"/>
    </row>
    <row r="7" spans="1:16" x14ac:dyDescent="0.2">
      <c r="A7" s="697" t="s">
        <v>212</v>
      </c>
      <c r="B7" s="697"/>
      <c r="C7" s="698" t="s">
        <v>353</v>
      </c>
      <c r="D7" s="698"/>
      <c r="E7" s="698"/>
      <c r="F7" s="698"/>
      <c r="G7" s="698"/>
      <c r="H7" s="698"/>
      <c r="I7" s="698"/>
      <c r="J7" s="698"/>
    </row>
    <row r="8" spans="1:16" x14ac:dyDescent="0.2">
      <c r="A8" s="613"/>
      <c r="B8" s="613"/>
      <c r="C8" s="614"/>
      <c r="D8" s="614"/>
      <c r="E8" s="614"/>
      <c r="F8" s="614"/>
      <c r="G8" s="614"/>
      <c r="H8" s="614"/>
      <c r="I8" s="614"/>
      <c r="J8" s="614"/>
    </row>
    <row r="9" spans="1:16" x14ac:dyDescent="0.2">
      <c r="A9" s="615" t="s">
        <v>213</v>
      </c>
      <c r="B9" s="615"/>
      <c r="C9" s="615" t="s">
        <v>236</v>
      </c>
      <c r="D9" s="615"/>
      <c r="E9" s="615"/>
      <c r="F9" s="615"/>
      <c r="G9" s="615"/>
      <c r="H9" s="615"/>
      <c r="I9" s="615"/>
      <c r="J9" s="615"/>
    </row>
    <row r="10" spans="1:16" x14ac:dyDescent="0.2">
      <c r="A10" s="615" t="s">
        <v>214</v>
      </c>
      <c r="B10" s="615"/>
      <c r="C10" s="615" t="s">
        <v>215</v>
      </c>
      <c r="D10" s="615"/>
      <c r="E10" s="615"/>
      <c r="F10" s="615"/>
      <c r="G10" s="615"/>
      <c r="H10" s="615"/>
      <c r="I10" s="615"/>
      <c r="J10" s="615"/>
    </row>
    <row r="11" spans="1:16" x14ac:dyDescent="0.2">
      <c r="A11" s="251"/>
      <c r="B11" s="251"/>
      <c r="C11" s="251"/>
      <c r="D11" s="251"/>
      <c r="E11" s="251"/>
      <c r="F11" s="251"/>
      <c r="G11" s="251"/>
      <c r="H11" s="251"/>
      <c r="I11" s="609">
        <f ca="1">NOW()</f>
        <v>43551.670944791666</v>
      </c>
      <c r="J11" s="609"/>
    </row>
    <row r="12" spans="1:16" x14ac:dyDescent="0.2">
      <c r="H12" s="257" t="s">
        <v>31</v>
      </c>
      <c r="I12" s="610">
        <f>Enc.Sociais!I50</f>
        <v>0.72811369776000012</v>
      </c>
      <c r="J12" s="611"/>
    </row>
    <row r="13" spans="1:16" x14ac:dyDescent="0.2">
      <c r="H13" s="257" t="s">
        <v>364</v>
      </c>
      <c r="I13" s="688">
        <v>998</v>
      </c>
      <c r="J13" s="689"/>
    </row>
    <row r="14" spans="1:16" s="239" customFormat="1" x14ac:dyDescent="0.2">
      <c r="A14" s="693" t="s">
        <v>216</v>
      </c>
      <c r="B14" s="694"/>
      <c r="C14" s="694"/>
      <c r="D14" s="694"/>
      <c r="E14" s="694"/>
      <c r="F14" s="694"/>
      <c r="G14" s="694"/>
      <c r="H14" s="694"/>
      <c r="I14" s="694"/>
      <c r="J14" s="694"/>
    </row>
    <row r="15" spans="1:16" s="245" customFormat="1" ht="24.6" customHeight="1" thickBot="1" x14ac:dyDescent="0.25">
      <c r="A15" s="690" t="s">
        <v>518</v>
      </c>
      <c r="B15" s="691"/>
      <c r="C15" s="691"/>
      <c r="D15" s="691"/>
      <c r="E15" s="691"/>
      <c r="F15" s="692"/>
      <c r="H15" s="741" t="s">
        <v>519</v>
      </c>
      <c r="I15" s="742"/>
      <c r="J15" s="742"/>
    </row>
    <row r="16" spans="1:16" s="245" customFormat="1" x14ac:dyDescent="0.2">
      <c r="A16" s="668" t="s">
        <v>218</v>
      </c>
      <c r="B16" s="669"/>
      <c r="C16" s="669"/>
      <c r="D16" s="670"/>
      <c r="E16" s="624">
        <f>I16</f>
        <v>4024.2749236003001</v>
      </c>
      <c r="F16" s="625"/>
      <c r="H16" s="258" t="s">
        <v>218</v>
      </c>
      <c r="I16" s="624">
        <f>6979.3/1.7343</f>
        <v>4024.2749236003001</v>
      </c>
      <c r="J16" s="625"/>
      <c r="L16" s="259" t="e">
        <f>#REF!</f>
        <v>#REF!</v>
      </c>
      <c r="M16" s="259" t="e">
        <f>#REF!</f>
        <v>#REF!</v>
      </c>
      <c r="P16" s="245">
        <f>2142.06*1.1</f>
        <v>2356.2660000000001</v>
      </c>
    </row>
    <row r="17" spans="1:17" s="245" customFormat="1" x14ac:dyDescent="0.2">
      <c r="A17" s="634" t="s">
        <v>233</v>
      </c>
      <c r="B17" s="635"/>
      <c r="C17" s="635"/>
      <c r="D17" s="665"/>
      <c r="E17" s="590">
        <f>I13*0.2</f>
        <v>199.60000000000002</v>
      </c>
      <c r="F17" s="591"/>
      <c r="H17" s="260" t="s">
        <v>258</v>
      </c>
      <c r="I17" s="590">
        <f>E17</f>
        <v>199.60000000000002</v>
      </c>
      <c r="J17" s="591"/>
    </row>
    <row r="18" spans="1:17" s="245" customFormat="1" x14ac:dyDescent="0.2">
      <c r="A18" s="634" t="s">
        <v>230</v>
      </c>
      <c r="B18" s="635"/>
      <c r="C18" s="635"/>
      <c r="D18" s="665"/>
      <c r="E18" s="590" t="s">
        <v>365</v>
      </c>
      <c r="F18" s="591"/>
      <c r="H18" s="241" t="s">
        <v>230</v>
      </c>
      <c r="I18" s="590" t="s">
        <v>365</v>
      </c>
      <c r="J18" s="591"/>
    </row>
    <row r="19" spans="1:17" s="245" customFormat="1" x14ac:dyDescent="0.2">
      <c r="A19" s="634" t="s">
        <v>220</v>
      </c>
      <c r="B19" s="635"/>
      <c r="C19" s="635"/>
      <c r="D19" s="665"/>
      <c r="E19" s="590" t="s">
        <v>365</v>
      </c>
      <c r="F19" s="591"/>
      <c r="H19" s="260" t="s">
        <v>225</v>
      </c>
      <c r="I19" s="590">
        <f>SUM(I16*20/100)</f>
        <v>804.85498472005997</v>
      </c>
      <c r="J19" s="591"/>
    </row>
    <row r="20" spans="1:17" s="245" customFormat="1" x14ac:dyDescent="0.2">
      <c r="A20" s="262" t="s">
        <v>17</v>
      </c>
      <c r="B20" s="261"/>
      <c r="C20" s="261"/>
      <c r="D20" s="261"/>
      <c r="E20" s="676">
        <f>SUM(E16:F19)</f>
        <v>4223.8749236003005</v>
      </c>
      <c r="F20" s="677"/>
      <c r="H20" s="262" t="s">
        <v>17</v>
      </c>
      <c r="I20" s="676">
        <f>SUM(I16:J19)</f>
        <v>5028.7299083203607</v>
      </c>
      <c r="J20" s="677"/>
    </row>
    <row r="21" spans="1:17" s="245" customFormat="1" x14ac:dyDescent="0.2">
      <c r="A21" s="634" t="s">
        <v>221</v>
      </c>
      <c r="B21" s="635"/>
      <c r="C21" s="635"/>
      <c r="D21" s="665"/>
      <c r="E21" s="590">
        <f>E20*$I$12</f>
        <v>3075.4611894983527</v>
      </c>
      <c r="F21" s="591"/>
      <c r="H21" s="241" t="s">
        <v>221</v>
      </c>
      <c r="I21" s="590">
        <f>I20*$I$12</f>
        <v>3661.4871285834442</v>
      </c>
      <c r="J21" s="591"/>
    </row>
    <row r="22" spans="1:17" s="245" customFormat="1" x14ac:dyDescent="0.2">
      <c r="A22" s="634" t="s">
        <v>222</v>
      </c>
      <c r="B22" s="635"/>
      <c r="C22" s="635"/>
      <c r="D22" s="665"/>
      <c r="E22" s="590">
        <f>I22</f>
        <v>390</v>
      </c>
      <c r="F22" s="591"/>
      <c r="H22" s="241" t="s">
        <v>222</v>
      </c>
      <c r="I22" s="590">
        <f>78*5</f>
        <v>390</v>
      </c>
      <c r="J22" s="591"/>
    </row>
    <row r="23" spans="1:17" s="245" customFormat="1" x14ac:dyDescent="0.2">
      <c r="A23" s="634" t="s">
        <v>289</v>
      </c>
      <c r="B23" s="635"/>
      <c r="C23" s="635"/>
      <c r="D23" s="665"/>
      <c r="E23" s="590">
        <v>40.58</v>
      </c>
      <c r="F23" s="591"/>
      <c r="H23" s="241" t="s">
        <v>288</v>
      </c>
      <c r="I23" s="590">
        <v>40.58</v>
      </c>
      <c r="J23" s="591"/>
    </row>
    <row r="24" spans="1:17" s="245" customFormat="1" x14ac:dyDescent="0.2">
      <c r="A24" s="241" t="s">
        <v>509</v>
      </c>
      <c r="B24" s="261"/>
      <c r="C24" s="261"/>
      <c r="D24" s="508"/>
      <c r="E24" s="590">
        <f>130+10</f>
        <v>140</v>
      </c>
      <c r="F24" s="591"/>
      <c r="H24" s="241" t="s">
        <v>509</v>
      </c>
      <c r="I24" s="590">
        <f>130+10</f>
        <v>140</v>
      </c>
      <c r="J24" s="591"/>
    </row>
    <row r="25" spans="1:17" s="245" customFormat="1" x14ac:dyDescent="0.2">
      <c r="A25" s="634" t="s">
        <v>229</v>
      </c>
      <c r="B25" s="635"/>
      <c r="C25" s="635"/>
      <c r="D25" s="665"/>
      <c r="E25" s="590">
        <f>+(760*13)/12</f>
        <v>823.33333333333337</v>
      </c>
      <c r="F25" s="591"/>
      <c r="H25" s="241" t="s">
        <v>229</v>
      </c>
      <c r="I25" s="590">
        <f>E25</f>
        <v>823.33333333333337</v>
      </c>
      <c r="J25" s="591"/>
      <c r="Q25" s="245" t="e">
        <f>+#REF!*0.15</f>
        <v>#REF!</v>
      </c>
    </row>
    <row r="26" spans="1:17" s="245" customFormat="1" x14ac:dyDescent="0.2">
      <c r="A26" s="634" t="s">
        <v>29</v>
      </c>
      <c r="B26" s="635"/>
      <c r="C26" s="635"/>
      <c r="D26" s="665"/>
      <c r="E26" s="959">
        <f>SUM(E16*0.7/12)</f>
        <v>234.74937054335081</v>
      </c>
      <c r="F26" s="960"/>
      <c r="H26" s="241" t="s">
        <v>29</v>
      </c>
      <c r="I26" s="959">
        <f>SUM(I16*0.7/12)</f>
        <v>234.74937054335081</v>
      </c>
      <c r="J26" s="960"/>
    </row>
    <row r="27" spans="1:17" s="245" customFormat="1" ht="13.5" thickBot="1" x14ac:dyDescent="0.25">
      <c r="A27" s="699" t="s">
        <v>223</v>
      </c>
      <c r="B27" s="700"/>
      <c r="C27" s="700"/>
      <c r="D27" s="701"/>
      <c r="E27" s="592">
        <f>SUM(E20:F26)</f>
        <v>8927.9988169753378</v>
      </c>
      <c r="F27" s="593"/>
      <c r="H27" s="263" t="s">
        <v>223</v>
      </c>
      <c r="I27" s="592">
        <f>SUM(I20:J26)</f>
        <v>10318.87974078049</v>
      </c>
      <c r="J27" s="593"/>
    </row>
    <row r="28" spans="1:17" s="245" customFormat="1" ht="13.5" thickBot="1" x14ac:dyDescent="0.25">
      <c r="A28" s="636" t="s">
        <v>520</v>
      </c>
      <c r="B28" s="637"/>
      <c r="C28" s="637"/>
      <c r="D28" s="702"/>
      <c r="E28" s="655">
        <f>E27*'Lote 01 - P1-UTMB ASA SUL '!$D$278</f>
        <v>8927.9988169753378</v>
      </c>
      <c r="F28" s="656"/>
      <c r="H28" s="264" t="s">
        <v>338</v>
      </c>
      <c r="I28" s="655">
        <f>I27*'Lote 01 - P1-UTMB ASA SUL '!D279</f>
        <v>10318.87974078049</v>
      </c>
      <c r="J28" s="656"/>
    </row>
    <row r="29" spans="1:17" s="245" customFormat="1" ht="13.5" thickBot="1" x14ac:dyDescent="0.25">
      <c r="A29" s="640" t="s">
        <v>26</v>
      </c>
      <c r="B29" s="641"/>
      <c r="C29" s="641"/>
      <c r="D29" s="641"/>
      <c r="E29" s="641"/>
      <c r="F29" s="641"/>
      <c r="G29" s="641"/>
      <c r="H29" s="641"/>
      <c r="I29" s="642">
        <f>SUM(E28+I28)</f>
        <v>19246.87855775583</v>
      </c>
      <c r="J29" s="643"/>
    </row>
    <row r="30" spans="1:17" s="245" customFormat="1" ht="14.25" thickTop="1" thickBot="1" x14ac:dyDescent="0.25">
      <c r="A30" s="573" t="s">
        <v>341</v>
      </c>
      <c r="B30" s="574"/>
      <c r="C30" s="574"/>
      <c r="D30" s="574"/>
      <c r="E30" s="574"/>
      <c r="F30" s="575"/>
      <c r="H30" s="573" t="s">
        <v>341</v>
      </c>
      <c r="I30" s="574"/>
      <c r="J30" s="574"/>
    </row>
    <row r="31" spans="1:17" s="245" customFormat="1" x14ac:dyDescent="0.2">
      <c r="A31" s="668" t="s">
        <v>218</v>
      </c>
      <c r="B31" s="669"/>
      <c r="C31" s="669"/>
      <c r="D31" s="670"/>
      <c r="E31" s="624">
        <f>4007.34/1.7343</f>
        <v>2310.6382978723404</v>
      </c>
      <c r="F31" s="625"/>
      <c r="H31" s="265" t="s">
        <v>218</v>
      </c>
      <c r="I31" s="624">
        <f>E31</f>
        <v>2310.6382978723404</v>
      </c>
      <c r="J31" s="625"/>
      <c r="L31" s="259" t="e">
        <f>#REF!</f>
        <v>#REF!</v>
      </c>
    </row>
    <row r="32" spans="1:17" s="245" customFormat="1" x14ac:dyDescent="0.2">
      <c r="A32" s="634" t="s">
        <v>258</v>
      </c>
      <c r="B32" s="635"/>
      <c r="C32" s="635"/>
      <c r="D32" s="665"/>
      <c r="E32" s="590">
        <f>I13*0.2</f>
        <v>199.60000000000002</v>
      </c>
      <c r="F32" s="591"/>
      <c r="H32" s="260" t="s">
        <v>258</v>
      </c>
      <c r="I32" s="590">
        <f>I13*0.2</f>
        <v>199.60000000000002</v>
      </c>
      <c r="J32" s="591"/>
    </row>
    <row r="33" spans="1:13" s="245" customFormat="1" x14ac:dyDescent="0.2">
      <c r="A33" s="634" t="s">
        <v>230</v>
      </c>
      <c r="B33" s="635"/>
      <c r="C33" s="635"/>
      <c r="D33" s="665"/>
      <c r="E33" s="590">
        <f>8*E31/220*2</f>
        <v>168.04642166344294</v>
      </c>
      <c r="F33" s="591"/>
      <c r="H33" s="241" t="s">
        <v>230</v>
      </c>
      <c r="I33" s="590">
        <f>8*I31/220*2</f>
        <v>168.04642166344294</v>
      </c>
      <c r="J33" s="591"/>
    </row>
    <row r="34" spans="1:13" s="245" customFormat="1" x14ac:dyDescent="0.2">
      <c r="A34" s="634" t="s">
        <v>220</v>
      </c>
      <c r="B34" s="635"/>
      <c r="C34" s="635"/>
      <c r="D34" s="665"/>
      <c r="E34" s="590" t="s">
        <v>365</v>
      </c>
      <c r="F34" s="591"/>
      <c r="G34" s="266"/>
      <c r="H34" s="260" t="s">
        <v>220</v>
      </c>
      <c r="I34" s="590" t="s">
        <v>365</v>
      </c>
      <c r="J34" s="591"/>
    </row>
    <row r="35" spans="1:13" s="245" customFormat="1" x14ac:dyDescent="0.2">
      <c r="A35" s="634" t="s">
        <v>225</v>
      </c>
      <c r="B35" s="635"/>
      <c r="C35" s="635"/>
      <c r="D35" s="665"/>
      <c r="E35" s="590" t="s">
        <v>365</v>
      </c>
      <c r="F35" s="591"/>
      <c r="H35" s="260" t="s">
        <v>225</v>
      </c>
      <c r="I35" s="590">
        <f>SUM(I31*20/100)</f>
        <v>462.12765957446811</v>
      </c>
      <c r="J35" s="591"/>
    </row>
    <row r="36" spans="1:13" s="245" customFormat="1" x14ac:dyDescent="0.2">
      <c r="A36" s="673" t="s">
        <v>17</v>
      </c>
      <c r="B36" s="674"/>
      <c r="C36" s="674"/>
      <c r="D36" s="675"/>
      <c r="E36" s="676">
        <f>SUM(E31:F35)</f>
        <v>2678.2847195357831</v>
      </c>
      <c r="F36" s="677"/>
      <c r="H36" s="267" t="s">
        <v>17</v>
      </c>
      <c r="I36" s="676">
        <f>SUM(I31:J35)</f>
        <v>3140.4123791102511</v>
      </c>
      <c r="J36" s="677"/>
    </row>
    <row r="37" spans="1:13" s="245" customFormat="1" x14ac:dyDescent="0.2">
      <c r="A37" s="634" t="s">
        <v>221</v>
      </c>
      <c r="B37" s="635"/>
      <c r="C37" s="635"/>
      <c r="D37" s="665"/>
      <c r="E37" s="590">
        <f>E36*$I$12</f>
        <v>1950.0957907953039</v>
      </c>
      <c r="F37" s="591"/>
      <c r="H37" s="260" t="s">
        <v>221</v>
      </c>
      <c r="I37" s="590">
        <f>I36*$I$12</f>
        <v>2286.5772698452442</v>
      </c>
      <c r="J37" s="591"/>
    </row>
    <row r="38" spans="1:13" s="245" customFormat="1" x14ac:dyDescent="0.2">
      <c r="A38" s="634" t="s">
        <v>222</v>
      </c>
      <c r="B38" s="635"/>
      <c r="C38" s="635"/>
      <c r="D38" s="665"/>
      <c r="E38" s="590">
        <f>I22</f>
        <v>390</v>
      </c>
      <c r="F38" s="591"/>
      <c r="H38" s="241" t="s">
        <v>222</v>
      </c>
      <c r="I38" s="590">
        <f>+I22</f>
        <v>390</v>
      </c>
      <c r="J38" s="591"/>
    </row>
    <row r="39" spans="1:13" s="245" customFormat="1" x14ac:dyDescent="0.2">
      <c r="A39" s="634" t="s">
        <v>289</v>
      </c>
      <c r="B39" s="635"/>
      <c r="C39" s="635"/>
      <c r="D39" s="665"/>
      <c r="E39" s="590">
        <v>40.58</v>
      </c>
      <c r="F39" s="591"/>
      <c r="H39" s="241" t="s">
        <v>289</v>
      </c>
      <c r="I39" s="590">
        <v>40.58</v>
      </c>
      <c r="J39" s="591"/>
      <c r="M39" s="245">
        <f>1598.3*1.1</f>
        <v>1758.13</v>
      </c>
    </row>
    <row r="40" spans="1:13" s="245" customFormat="1" x14ac:dyDescent="0.2">
      <c r="A40" s="241" t="s">
        <v>509</v>
      </c>
      <c r="B40" s="261"/>
      <c r="C40" s="261"/>
      <c r="D40" s="508"/>
      <c r="E40" s="590">
        <f>130+10</f>
        <v>140</v>
      </c>
      <c r="F40" s="591"/>
      <c r="H40" s="241" t="s">
        <v>509</v>
      </c>
      <c r="I40" s="590">
        <f>130+10</f>
        <v>140</v>
      </c>
      <c r="J40" s="591"/>
    </row>
    <row r="41" spans="1:13" s="245" customFormat="1" x14ac:dyDescent="0.2">
      <c r="A41" s="634" t="s">
        <v>229</v>
      </c>
      <c r="B41" s="635"/>
      <c r="C41" s="635"/>
      <c r="D41" s="665"/>
      <c r="E41" s="590">
        <f>E25</f>
        <v>823.33333333333337</v>
      </c>
      <c r="F41" s="591"/>
      <c r="H41" s="241" t="s">
        <v>229</v>
      </c>
      <c r="I41" s="590">
        <f>E41</f>
        <v>823.33333333333337</v>
      </c>
      <c r="J41" s="591"/>
    </row>
    <row r="42" spans="1:13" s="245" customFormat="1" x14ac:dyDescent="0.2">
      <c r="A42" s="634" t="s">
        <v>29</v>
      </c>
      <c r="B42" s="635"/>
      <c r="C42" s="635"/>
      <c r="D42" s="665"/>
      <c r="E42" s="959">
        <f>SUM(E31*0.7/12)</f>
        <v>134.78723404255319</v>
      </c>
      <c r="F42" s="960"/>
      <c r="H42" s="241" t="s">
        <v>29</v>
      </c>
      <c r="I42" s="959">
        <f>SUM(I31*0.7/12)</f>
        <v>134.78723404255319</v>
      </c>
      <c r="J42" s="960"/>
    </row>
    <row r="43" spans="1:13" s="245" customFormat="1" ht="13.5" thickBot="1" x14ac:dyDescent="0.25">
      <c r="A43" s="699" t="s">
        <v>223</v>
      </c>
      <c r="B43" s="700"/>
      <c r="C43" s="700"/>
      <c r="D43" s="701"/>
      <c r="E43" s="592">
        <f>SUM(E36:F42)</f>
        <v>6157.0810777069728</v>
      </c>
      <c r="F43" s="593"/>
      <c r="H43" s="263" t="s">
        <v>223</v>
      </c>
      <c r="I43" s="592">
        <f>SUM(I36:J42)</f>
        <v>6955.6902163313816</v>
      </c>
      <c r="J43" s="593"/>
    </row>
    <row r="44" spans="1:13" s="245" customFormat="1" ht="13.5" thickBot="1" x14ac:dyDescent="0.25">
      <c r="A44" s="636" t="s">
        <v>355</v>
      </c>
      <c r="B44" s="637"/>
      <c r="C44" s="637"/>
      <c r="D44" s="702"/>
      <c r="E44" s="655">
        <f>E43*'Lote 01 - P1-UTMB ASA SUL '!D280</f>
        <v>6157.0810777069728</v>
      </c>
      <c r="F44" s="656"/>
      <c r="H44" s="264" t="s">
        <v>521</v>
      </c>
      <c r="I44" s="655">
        <v>0</v>
      </c>
      <c r="J44" s="656"/>
    </row>
    <row r="45" spans="1:13" s="245" customFormat="1" ht="13.5" thickBot="1" x14ac:dyDescent="0.25">
      <c r="A45" s="663" t="s">
        <v>351</v>
      </c>
      <c r="B45" s="664"/>
      <c r="C45" s="664"/>
      <c r="D45" s="664"/>
      <c r="E45" s="664"/>
      <c r="F45" s="664"/>
      <c r="G45" s="664"/>
      <c r="H45" s="664"/>
      <c r="I45" s="659">
        <f>SUM(E44+I44)</f>
        <v>6157.0810777069728</v>
      </c>
      <c r="J45" s="703"/>
    </row>
    <row r="46" spans="1:13" s="245" customFormat="1" ht="14.25" thickTop="1" thickBot="1" x14ac:dyDescent="0.25">
      <c r="A46" s="573" t="s">
        <v>345</v>
      </c>
      <c r="B46" s="574"/>
      <c r="C46" s="574"/>
      <c r="D46" s="574"/>
      <c r="E46" s="574"/>
      <c r="F46" s="575"/>
      <c r="H46" s="704" t="s">
        <v>244</v>
      </c>
      <c r="I46" s="705"/>
      <c r="J46" s="706"/>
    </row>
    <row r="47" spans="1:13" s="245" customFormat="1" ht="13.5" thickBot="1" x14ac:dyDescent="0.25">
      <c r="A47" s="668" t="s">
        <v>224</v>
      </c>
      <c r="B47" s="669"/>
      <c r="C47" s="669"/>
      <c r="D47" s="670"/>
      <c r="E47" s="709">
        <f>5782.78/1.7343</f>
        <v>3334.3596840223722</v>
      </c>
      <c r="F47" s="710"/>
      <c r="H47" s="303" t="s">
        <v>224</v>
      </c>
      <c r="I47" s="711">
        <f>M39</f>
        <v>1758.13</v>
      </c>
      <c r="J47" s="712"/>
      <c r="L47" s="259" t="e">
        <f>#REF!</f>
        <v>#REF!</v>
      </c>
    </row>
    <row r="48" spans="1:13" s="245" customFormat="1" x14ac:dyDescent="0.2">
      <c r="A48" s="634" t="s">
        <v>245</v>
      </c>
      <c r="B48" s="635"/>
      <c r="C48" s="635"/>
      <c r="D48" s="665"/>
      <c r="E48" s="624">
        <f>E17</f>
        <v>199.60000000000002</v>
      </c>
      <c r="F48" s="625"/>
      <c r="H48" s="304" t="s">
        <v>348</v>
      </c>
      <c r="I48" s="707">
        <f>E48</f>
        <v>199.60000000000002</v>
      </c>
      <c r="J48" s="713"/>
    </row>
    <row r="49" spans="1:15" s="245" customFormat="1" x14ac:dyDescent="0.2">
      <c r="A49" s="634" t="s">
        <v>230</v>
      </c>
      <c r="B49" s="635"/>
      <c r="C49" s="635"/>
      <c r="D49" s="665"/>
      <c r="E49" s="590">
        <f>8*E47/220*2</f>
        <v>242.49888611071799</v>
      </c>
      <c r="F49" s="591"/>
      <c r="H49" s="305" t="s">
        <v>230</v>
      </c>
      <c r="I49" s="707">
        <f>8*I47/220*2</f>
        <v>127.864</v>
      </c>
      <c r="J49" s="708"/>
    </row>
    <row r="50" spans="1:15" s="245" customFormat="1" x14ac:dyDescent="0.2">
      <c r="A50" s="634" t="s">
        <v>220</v>
      </c>
      <c r="B50" s="635"/>
      <c r="C50" s="635"/>
      <c r="D50" s="665"/>
      <c r="E50" s="590" t="s">
        <v>365</v>
      </c>
      <c r="F50" s="591"/>
      <c r="G50" s="266"/>
      <c r="H50" s="304" t="s">
        <v>220</v>
      </c>
      <c r="I50" s="707">
        <v>0</v>
      </c>
      <c r="J50" s="708"/>
    </row>
    <row r="51" spans="1:15" s="245" customFormat="1" x14ac:dyDescent="0.2">
      <c r="A51" s="634" t="s">
        <v>225</v>
      </c>
      <c r="B51" s="635"/>
      <c r="C51" s="635"/>
      <c r="D51" s="665"/>
      <c r="E51" s="590" t="s">
        <v>365</v>
      </c>
      <c r="F51" s="591"/>
      <c r="H51" s="304" t="s">
        <v>225</v>
      </c>
      <c r="I51" s="707">
        <f>SUM(I47*20/100)</f>
        <v>351.62600000000003</v>
      </c>
      <c r="J51" s="713"/>
    </row>
    <row r="52" spans="1:15" s="245" customFormat="1" x14ac:dyDescent="0.2">
      <c r="A52" s="673" t="s">
        <v>17</v>
      </c>
      <c r="B52" s="674"/>
      <c r="C52" s="674"/>
      <c r="D52" s="675"/>
      <c r="E52" s="676">
        <f>SUM(E47:F51)</f>
        <v>3776.4585701330902</v>
      </c>
      <c r="F52" s="677"/>
      <c r="H52" s="306" t="s">
        <v>17</v>
      </c>
      <c r="I52" s="714">
        <f>SUM(I47:J51)</f>
        <v>2437.2200000000003</v>
      </c>
      <c r="J52" s="715"/>
    </row>
    <row r="53" spans="1:15" s="245" customFormat="1" x14ac:dyDescent="0.2">
      <c r="A53" s="634" t="s">
        <v>221</v>
      </c>
      <c r="B53" s="635"/>
      <c r="C53" s="635"/>
      <c r="D53" s="665"/>
      <c r="E53" s="590">
        <f>E52*$I$12</f>
        <v>2749.691213937047</v>
      </c>
      <c r="F53" s="591"/>
      <c r="H53" s="304" t="s">
        <v>221</v>
      </c>
      <c r="I53" s="707">
        <f>I52*$I$12</f>
        <v>1774.5732664546276</v>
      </c>
      <c r="J53" s="708"/>
    </row>
    <row r="54" spans="1:15" s="245" customFormat="1" x14ac:dyDescent="0.2">
      <c r="A54" s="634" t="s">
        <v>222</v>
      </c>
      <c r="B54" s="635"/>
      <c r="C54" s="635"/>
      <c r="D54" s="665"/>
      <c r="E54" s="590">
        <f>+I22</f>
        <v>390</v>
      </c>
      <c r="F54" s="591"/>
      <c r="H54" s="305" t="s">
        <v>222</v>
      </c>
      <c r="I54" s="707">
        <f>E22</f>
        <v>390</v>
      </c>
      <c r="J54" s="708"/>
    </row>
    <row r="55" spans="1:15" s="245" customFormat="1" x14ac:dyDescent="0.2">
      <c r="A55" s="634" t="s">
        <v>289</v>
      </c>
      <c r="B55" s="635"/>
      <c r="C55" s="635"/>
      <c r="D55" s="665"/>
      <c r="E55" s="590">
        <v>40.58</v>
      </c>
      <c r="F55" s="591"/>
      <c r="H55" s="305" t="s">
        <v>289</v>
      </c>
      <c r="I55" s="707">
        <v>40.58</v>
      </c>
      <c r="J55" s="708"/>
    </row>
    <row r="56" spans="1:15" s="245" customFormat="1" x14ac:dyDescent="0.2">
      <c r="A56" s="241" t="s">
        <v>509</v>
      </c>
      <c r="B56" s="261"/>
      <c r="C56" s="261"/>
      <c r="D56" s="508"/>
      <c r="E56" s="590">
        <f>130+10</f>
        <v>140</v>
      </c>
      <c r="F56" s="591"/>
      <c r="H56" s="305"/>
      <c r="I56" s="509"/>
      <c r="J56" s="510"/>
    </row>
    <row r="57" spans="1:15" s="245" customFormat="1" x14ac:dyDescent="0.2">
      <c r="A57" s="634" t="s">
        <v>229</v>
      </c>
      <c r="B57" s="635"/>
      <c r="C57" s="635"/>
      <c r="D57" s="665"/>
      <c r="E57" s="590">
        <f>E41</f>
        <v>823.33333333333337</v>
      </c>
      <c r="F57" s="591"/>
      <c r="H57" s="305" t="s">
        <v>229</v>
      </c>
      <c r="I57" s="707">
        <f>E57</f>
        <v>823.33333333333337</v>
      </c>
      <c r="J57" s="708"/>
    </row>
    <row r="58" spans="1:15" s="245" customFormat="1" x14ac:dyDescent="0.2">
      <c r="A58" s="634" t="s">
        <v>29</v>
      </c>
      <c r="B58" s="635"/>
      <c r="C58" s="635"/>
      <c r="D58" s="665"/>
      <c r="E58" s="959">
        <f>SUM(E47*0.7/12)</f>
        <v>194.50431490130504</v>
      </c>
      <c r="F58" s="960"/>
      <c r="H58" s="305" t="s">
        <v>29</v>
      </c>
      <c r="I58" s="707">
        <f>SUM(I47*0.5/12)</f>
        <v>73.255416666666676</v>
      </c>
      <c r="J58" s="708"/>
    </row>
    <row r="59" spans="1:15" s="245" customFormat="1" ht="13.5" thickBot="1" x14ac:dyDescent="0.25">
      <c r="A59" s="673" t="s">
        <v>223</v>
      </c>
      <c r="B59" s="674"/>
      <c r="C59" s="674"/>
      <c r="D59" s="675"/>
      <c r="E59" s="676">
        <f>SUM(E52:F58)</f>
        <v>8114.567432304776</v>
      </c>
      <c r="F59" s="677"/>
      <c r="H59" s="307" t="s">
        <v>223</v>
      </c>
      <c r="I59" s="716">
        <f>SUM(I52:J58)</f>
        <v>5538.9620164546277</v>
      </c>
      <c r="J59" s="717"/>
    </row>
    <row r="60" spans="1:15" s="245" customFormat="1" ht="13.5" thickBot="1" x14ac:dyDescent="0.25">
      <c r="A60" s="647" t="s">
        <v>356</v>
      </c>
      <c r="B60" s="648"/>
      <c r="C60" s="648"/>
      <c r="D60" s="678"/>
      <c r="E60" s="632">
        <f>+E59*'Lote 01 - P1-UTMB ASA SUL '!D281</f>
        <v>8114.567432304776</v>
      </c>
      <c r="F60" s="633"/>
      <c r="G60" s="244"/>
      <c r="H60" s="308" t="s">
        <v>260</v>
      </c>
      <c r="I60" s="718"/>
      <c r="J60" s="719"/>
    </row>
    <row r="61" spans="1:15" s="245" customFormat="1" ht="13.5" thickBot="1" x14ac:dyDescent="0.25">
      <c r="A61" s="663" t="s">
        <v>350</v>
      </c>
      <c r="B61" s="664"/>
      <c r="C61" s="664"/>
      <c r="D61" s="664"/>
      <c r="E61" s="664"/>
      <c r="F61" s="664"/>
      <c r="G61" s="664"/>
      <c r="H61" s="664"/>
      <c r="I61" s="659">
        <f>SUM(E60+I60)</f>
        <v>8114.567432304776</v>
      </c>
      <c r="J61" s="703"/>
    </row>
    <row r="62" spans="1:15" s="245" customFormat="1" ht="14.25" hidden="1" thickTop="1" thickBot="1" x14ac:dyDescent="0.25">
      <c r="A62" s="644" t="s">
        <v>246</v>
      </c>
      <c r="B62" s="645"/>
      <c r="C62" s="645"/>
      <c r="D62" s="645"/>
      <c r="E62" s="645"/>
      <c r="F62" s="646"/>
      <c r="H62" s="644" t="s">
        <v>247</v>
      </c>
      <c r="I62" s="645"/>
      <c r="J62" s="646"/>
      <c r="O62" s="245">
        <f>1224.58*1.1</f>
        <v>1347.038</v>
      </c>
    </row>
    <row r="63" spans="1:15" s="245" customFormat="1" hidden="1" x14ac:dyDescent="0.2">
      <c r="A63" s="661" t="s">
        <v>218</v>
      </c>
      <c r="B63" s="662"/>
      <c r="C63" s="662"/>
      <c r="D63" s="662"/>
      <c r="E63" s="649">
        <f>O62</f>
        <v>1347.038</v>
      </c>
      <c r="F63" s="650"/>
      <c r="H63" s="265" t="s">
        <v>218</v>
      </c>
      <c r="I63" s="649">
        <f>O62</f>
        <v>1347.038</v>
      </c>
      <c r="J63" s="650"/>
      <c r="L63" s="259" t="e">
        <f>#REF!</f>
        <v>#REF!</v>
      </c>
    </row>
    <row r="64" spans="1:15" s="245" customFormat="1" hidden="1" x14ac:dyDescent="0.2">
      <c r="A64" s="626" t="s">
        <v>258</v>
      </c>
      <c r="B64" s="627"/>
      <c r="C64" s="627"/>
      <c r="D64" s="627"/>
      <c r="E64" s="628">
        <f>937*0.2</f>
        <v>187.4</v>
      </c>
      <c r="F64" s="629"/>
      <c r="H64" s="260" t="s">
        <v>258</v>
      </c>
      <c r="I64" s="590">
        <f>E64</f>
        <v>187.4</v>
      </c>
      <c r="J64" s="591"/>
    </row>
    <row r="65" spans="1:18" s="245" customFormat="1" hidden="1" x14ac:dyDescent="0.2">
      <c r="A65" s="634" t="s">
        <v>230</v>
      </c>
      <c r="B65" s="635"/>
      <c r="C65" s="635"/>
      <c r="D65" s="635"/>
      <c r="E65" s="590">
        <f>8*E63/220*2</f>
        <v>97.966400000000007</v>
      </c>
      <c r="F65" s="591"/>
      <c r="H65" s="241" t="s">
        <v>230</v>
      </c>
      <c r="I65" s="590">
        <f>8*I63/220*2</f>
        <v>97.966400000000007</v>
      </c>
      <c r="J65" s="591"/>
    </row>
    <row r="66" spans="1:18" s="245" customFormat="1" hidden="1" x14ac:dyDescent="0.2">
      <c r="A66" s="626" t="s">
        <v>220</v>
      </c>
      <c r="B66" s="627"/>
      <c r="C66" s="627"/>
      <c r="D66" s="627"/>
      <c r="E66" s="628">
        <v>0</v>
      </c>
      <c r="F66" s="629"/>
      <c r="G66" s="266"/>
      <c r="H66" s="260" t="s">
        <v>220</v>
      </c>
      <c r="I66" s="628">
        <v>0</v>
      </c>
      <c r="J66" s="629"/>
    </row>
    <row r="67" spans="1:18" s="245" customFormat="1" hidden="1" x14ac:dyDescent="0.2">
      <c r="A67" s="626" t="s">
        <v>225</v>
      </c>
      <c r="B67" s="627"/>
      <c r="C67" s="627"/>
      <c r="D67" s="627"/>
      <c r="E67" s="628">
        <v>0</v>
      </c>
      <c r="F67" s="629"/>
      <c r="H67" s="260" t="s">
        <v>225</v>
      </c>
      <c r="I67" s="628">
        <f>SUM(I63*20/100)</f>
        <v>269.4076</v>
      </c>
      <c r="J67" s="629"/>
      <c r="R67" s="245">
        <f>1886.5*0.3</f>
        <v>565.94999999999993</v>
      </c>
    </row>
    <row r="68" spans="1:18" s="245" customFormat="1" hidden="1" x14ac:dyDescent="0.2">
      <c r="A68" s="651" t="s">
        <v>17</v>
      </c>
      <c r="B68" s="652"/>
      <c r="C68" s="652"/>
      <c r="D68" s="652"/>
      <c r="E68" s="653">
        <f>SUM(E63:F67)</f>
        <v>1632.4044000000001</v>
      </c>
      <c r="F68" s="654"/>
      <c r="H68" s="267" t="s">
        <v>17</v>
      </c>
      <c r="I68" s="653">
        <f>SUM(I63:J67)</f>
        <v>1901.8120000000001</v>
      </c>
      <c r="J68" s="654"/>
    </row>
    <row r="69" spans="1:18" s="245" customFormat="1" hidden="1" x14ac:dyDescent="0.2">
      <c r="A69" s="626" t="s">
        <v>221</v>
      </c>
      <c r="B69" s="627"/>
      <c r="C69" s="627"/>
      <c r="D69" s="627"/>
      <c r="E69" s="590">
        <f>E68*$I$12</f>
        <v>1188.5760039236945</v>
      </c>
      <c r="F69" s="591"/>
      <c r="H69" s="260" t="s">
        <v>221</v>
      </c>
      <c r="I69" s="590">
        <f>I68*$I$12</f>
        <v>1384.7353677643414</v>
      </c>
      <c r="J69" s="591"/>
    </row>
    <row r="70" spans="1:18" s="245" customFormat="1" hidden="1" x14ac:dyDescent="0.2">
      <c r="A70" s="634" t="s">
        <v>222</v>
      </c>
      <c r="B70" s="635"/>
      <c r="C70" s="635"/>
      <c r="D70" s="635"/>
      <c r="E70" s="590">
        <v>390</v>
      </c>
      <c r="F70" s="591"/>
      <c r="H70" s="241" t="s">
        <v>222</v>
      </c>
      <c r="I70" s="590">
        <v>390</v>
      </c>
      <c r="J70" s="591"/>
    </row>
    <row r="71" spans="1:18" s="245" customFormat="1" hidden="1" x14ac:dyDescent="0.2">
      <c r="A71" s="634" t="s">
        <v>289</v>
      </c>
      <c r="B71" s="635"/>
      <c r="C71" s="635"/>
      <c r="D71" s="635"/>
      <c r="E71" s="590">
        <v>40.58</v>
      </c>
      <c r="F71" s="591"/>
      <c r="H71" s="241" t="s">
        <v>289</v>
      </c>
      <c r="I71" s="590">
        <v>40.58</v>
      </c>
      <c r="J71" s="591"/>
    </row>
    <row r="72" spans="1:18" s="245" customFormat="1" hidden="1" x14ac:dyDescent="0.2">
      <c r="A72" s="634" t="s">
        <v>229</v>
      </c>
      <c r="B72" s="635"/>
      <c r="C72" s="635"/>
      <c r="D72" s="635"/>
      <c r="E72" s="590">
        <v>758.33333333333337</v>
      </c>
      <c r="F72" s="591"/>
      <c r="H72" s="241" t="s">
        <v>229</v>
      </c>
      <c r="I72" s="590">
        <v>758.33333333333337</v>
      </c>
      <c r="J72" s="591"/>
    </row>
    <row r="73" spans="1:18" s="245" customFormat="1" hidden="1" x14ac:dyDescent="0.2">
      <c r="A73" s="634" t="s">
        <v>29</v>
      </c>
      <c r="B73" s="635"/>
      <c r="C73" s="635"/>
      <c r="D73" s="635"/>
      <c r="E73" s="590">
        <v>56.126583333333336</v>
      </c>
      <c r="F73" s="591"/>
      <c r="H73" s="241" t="s">
        <v>29</v>
      </c>
      <c r="I73" s="590">
        <v>56.126583333333336</v>
      </c>
      <c r="J73" s="591"/>
      <c r="P73" s="245">
        <f>1886.5*1.1</f>
        <v>2075.15</v>
      </c>
    </row>
    <row r="74" spans="1:18" s="245" customFormat="1" ht="13.5" hidden="1" thickBot="1" x14ac:dyDescent="0.25">
      <c r="A74" s="647" t="s">
        <v>223</v>
      </c>
      <c r="B74" s="648"/>
      <c r="C74" s="648"/>
      <c r="D74" s="648"/>
      <c r="E74" s="592">
        <f>SUM(E68:F73)</f>
        <v>4066.0203205903613</v>
      </c>
      <c r="F74" s="593"/>
      <c r="H74" s="263" t="s">
        <v>223</v>
      </c>
      <c r="I74" s="592">
        <f>SUM(I68:J73)</f>
        <v>4531.5872844310079</v>
      </c>
      <c r="J74" s="593"/>
    </row>
    <row r="75" spans="1:18" s="245" customFormat="1" ht="13.5" hidden="1" thickBot="1" x14ac:dyDescent="0.25">
      <c r="A75" s="681" t="s">
        <v>263</v>
      </c>
      <c r="B75" s="682"/>
      <c r="C75" s="682"/>
      <c r="D75" s="682"/>
      <c r="E75" s="683"/>
      <c r="F75" s="684"/>
      <c r="G75" s="244"/>
      <c r="H75" s="268" t="s">
        <v>264</v>
      </c>
      <c r="I75" s="679"/>
      <c r="J75" s="680"/>
    </row>
    <row r="76" spans="1:18" s="245" customFormat="1" ht="13.5" hidden="1" thickBot="1" x14ac:dyDescent="0.25">
      <c r="A76" s="720" t="s">
        <v>265</v>
      </c>
      <c r="B76" s="721"/>
      <c r="C76" s="721"/>
      <c r="D76" s="721"/>
      <c r="E76" s="721"/>
      <c r="F76" s="721"/>
      <c r="G76" s="721"/>
      <c r="H76" s="721"/>
      <c r="I76" s="722">
        <f>SUM(E75+I75)</f>
        <v>0</v>
      </c>
      <c r="J76" s="723"/>
    </row>
    <row r="77" spans="1:18" s="245" customFormat="1" ht="14.25" hidden="1" thickTop="1" thickBot="1" x14ac:dyDescent="0.25">
      <c r="A77" s="644" t="s">
        <v>248</v>
      </c>
      <c r="B77" s="645"/>
      <c r="C77" s="645"/>
      <c r="D77" s="645"/>
      <c r="E77" s="645"/>
      <c r="F77" s="646"/>
      <c r="H77" s="644" t="s">
        <v>249</v>
      </c>
      <c r="I77" s="645"/>
      <c r="J77" s="646"/>
    </row>
    <row r="78" spans="1:18" s="245" customFormat="1" hidden="1" x14ac:dyDescent="0.2">
      <c r="A78" s="661" t="s">
        <v>224</v>
      </c>
      <c r="B78" s="662"/>
      <c r="C78" s="662"/>
      <c r="D78" s="662"/>
      <c r="E78" s="649">
        <f>P73</f>
        <v>2075.15</v>
      </c>
      <c r="F78" s="650"/>
      <c r="H78" s="265" t="s">
        <v>224</v>
      </c>
      <c r="I78" s="649">
        <f>P73</f>
        <v>2075.15</v>
      </c>
      <c r="J78" s="650"/>
      <c r="L78" s="259" t="e">
        <f>#REF!</f>
        <v>#REF!</v>
      </c>
    </row>
    <row r="79" spans="1:18" s="245" customFormat="1" hidden="1" x14ac:dyDescent="0.2">
      <c r="A79" s="626" t="s">
        <v>266</v>
      </c>
      <c r="B79" s="627"/>
      <c r="C79" s="627"/>
      <c r="D79" s="627"/>
      <c r="E79" s="628">
        <f>E78*0.3</f>
        <v>622.54499999999996</v>
      </c>
      <c r="F79" s="629"/>
      <c r="H79" s="260" t="s">
        <v>266</v>
      </c>
      <c r="I79" s="590">
        <v>622.54999999999995</v>
      </c>
      <c r="J79" s="591"/>
    </row>
    <row r="80" spans="1:18" s="245" customFormat="1" hidden="1" x14ac:dyDescent="0.2">
      <c r="A80" s="634" t="s">
        <v>230</v>
      </c>
      <c r="B80" s="635"/>
      <c r="C80" s="635"/>
      <c r="D80" s="635"/>
      <c r="E80" s="590">
        <f>8*E78/220*2</f>
        <v>150.92000000000002</v>
      </c>
      <c r="F80" s="591"/>
      <c r="H80" s="241" t="s">
        <v>230</v>
      </c>
      <c r="I80" s="590">
        <f>8*I78/220*2</f>
        <v>150.92000000000002</v>
      </c>
      <c r="J80" s="591"/>
    </row>
    <row r="81" spans="1:15" s="245" customFormat="1" hidden="1" x14ac:dyDescent="0.2">
      <c r="A81" s="626" t="s">
        <v>220</v>
      </c>
      <c r="B81" s="627"/>
      <c r="C81" s="627"/>
      <c r="D81" s="627"/>
      <c r="E81" s="628">
        <v>0</v>
      </c>
      <c r="F81" s="629"/>
      <c r="G81" s="266"/>
      <c r="H81" s="260" t="s">
        <v>220</v>
      </c>
      <c r="I81" s="628">
        <v>0</v>
      </c>
      <c r="J81" s="629"/>
    </row>
    <row r="82" spans="1:15" s="245" customFormat="1" hidden="1" x14ac:dyDescent="0.2">
      <c r="A82" s="626" t="s">
        <v>225</v>
      </c>
      <c r="B82" s="627"/>
      <c r="C82" s="627"/>
      <c r="D82" s="627"/>
      <c r="E82" s="628">
        <v>0</v>
      </c>
      <c r="F82" s="629"/>
      <c r="H82" s="260" t="s">
        <v>225</v>
      </c>
      <c r="I82" s="628">
        <f>SUM(I78*20/100)</f>
        <v>415.03</v>
      </c>
      <c r="J82" s="629"/>
    </row>
    <row r="83" spans="1:15" s="245" customFormat="1" hidden="1" x14ac:dyDescent="0.2">
      <c r="A83" s="651" t="s">
        <v>17</v>
      </c>
      <c r="B83" s="652"/>
      <c r="C83" s="652"/>
      <c r="D83" s="652"/>
      <c r="E83" s="653">
        <f>SUM(E78:F82)</f>
        <v>2848.6150000000002</v>
      </c>
      <c r="F83" s="654"/>
      <c r="H83" s="267" t="s">
        <v>17</v>
      </c>
      <c r="I83" s="653">
        <f>SUM(I78:J82)</f>
        <v>3263.6499999999996</v>
      </c>
      <c r="J83" s="654"/>
    </row>
    <row r="84" spans="1:15" s="245" customFormat="1" hidden="1" x14ac:dyDescent="0.2">
      <c r="A84" s="626" t="s">
        <v>221</v>
      </c>
      <c r="B84" s="627"/>
      <c r="C84" s="627"/>
      <c r="D84" s="627"/>
      <c r="E84" s="590">
        <f>E83*$I$12</f>
        <v>2074.1156011446028</v>
      </c>
      <c r="F84" s="591"/>
      <c r="H84" s="260" t="s">
        <v>221</v>
      </c>
      <c r="I84" s="590">
        <f>I83*$I$12</f>
        <v>2376.3082696944243</v>
      </c>
      <c r="J84" s="591"/>
    </row>
    <row r="85" spans="1:15" s="245" customFormat="1" hidden="1" x14ac:dyDescent="0.2">
      <c r="A85" s="634" t="s">
        <v>222</v>
      </c>
      <c r="B85" s="635"/>
      <c r="C85" s="635"/>
      <c r="D85" s="635"/>
      <c r="E85" s="590">
        <f>E22</f>
        <v>390</v>
      </c>
      <c r="F85" s="591"/>
      <c r="H85" s="241" t="s">
        <v>222</v>
      </c>
      <c r="I85" s="590">
        <f>E22</f>
        <v>390</v>
      </c>
      <c r="J85" s="591"/>
    </row>
    <row r="86" spans="1:15" s="245" customFormat="1" hidden="1" x14ac:dyDescent="0.2">
      <c r="A86" s="634" t="s">
        <v>289</v>
      </c>
      <c r="B86" s="635"/>
      <c r="C86" s="635"/>
      <c r="D86" s="635"/>
      <c r="E86" s="590">
        <v>40.58</v>
      </c>
      <c r="F86" s="591"/>
      <c r="H86" s="241" t="s">
        <v>288</v>
      </c>
      <c r="I86" s="590">
        <v>40.58</v>
      </c>
      <c r="J86" s="591"/>
    </row>
    <row r="87" spans="1:15" s="245" customFormat="1" hidden="1" x14ac:dyDescent="0.2">
      <c r="A87" s="634" t="s">
        <v>229</v>
      </c>
      <c r="B87" s="635"/>
      <c r="C87" s="635"/>
      <c r="D87" s="635"/>
      <c r="E87" s="590">
        <f>E72</f>
        <v>758.33333333333337</v>
      </c>
      <c r="F87" s="591"/>
      <c r="H87" s="241" t="s">
        <v>229</v>
      </c>
      <c r="I87" s="590">
        <f>E87</f>
        <v>758.33333333333337</v>
      </c>
      <c r="J87" s="591"/>
    </row>
    <row r="88" spans="1:15" s="245" customFormat="1" hidden="1" x14ac:dyDescent="0.2">
      <c r="A88" s="634" t="s">
        <v>29</v>
      </c>
      <c r="B88" s="635"/>
      <c r="C88" s="635"/>
      <c r="D88" s="635"/>
      <c r="E88" s="590">
        <f>SUM(E78*0.5/12)</f>
        <v>86.464583333333337</v>
      </c>
      <c r="F88" s="591"/>
      <c r="H88" s="241" t="s">
        <v>29</v>
      </c>
      <c r="I88" s="590">
        <f>SUM(I78*0.5/12)</f>
        <v>86.464583333333337</v>
      </c>
      <c r="J88" s="591"/>
    </row>
    <row r="89" spans="1:15" s="245" customFormat="1" ht="13.5" hidden="1" thickBot="1" x14ac:dyDescent="0.25">
      <c r="A89" s="647" t="s">
        <v>223</v>
      </c>
      <c r="B89" s="648"/>
      <c r="C89" s="648"/>
      <c r="D89" s="648"/>
      <c r="E89" s="592">
        <f>SUM(E83:F88)</f>
        <v>6198.1085178112698</v>
      </c>
      <c r="F89" s="593"/>
      <c r="H89" s="263" t="s">
        <v>223</v>
      </c>
      <c r="I89" s="592">
        <f>SUM(I83:J88)</f>
        <v>6915.3361863610899</v>
      </c>
      <c r="J89" s="593"/>
    </row>
    <row r="90" spans="1:15" s="245" customFormat="1" ht="13.5" hidden="1" thickBot="1" x14ac:dyDescent="0.25">
      <c r="A90" s="681" t="s">
        <v>267</v>
      </c>
      <c r="B90" s="682"/>
      <c r="C90" s="682"/>
      <c r="D90" s="682"/>
      <c r="E90" s="679"/>
      <c r="F90" s="680"/>
      <c r="G90" s="244"/>
      <c r="H90" s="268" t="s">
        <v>268</v>
      </c>
      <c r="I90" s="679"/>
      <c r="J90" s="680"/>
    </row>
    <row r="91" spans="1:15" s="245" customFormat="1" ht="13.5" hidden="1" thickBot="1" x14ac:dyDescent="0.25">
      <c r="A91" s="720" t="s">
        <v>250</v>
      </c>
      <c r="B91" s="721"/>
      <c r="C91" s="721"/>
      <c r="D91" s="721"/>
      <c r="E91" s="721"/>
      <c r="F91" s="721"/>
      <c r="G91" s="721"/>
      <c r="H91" s="721"/>
      <c r="I91" s="722">
        <f>SUM(E90+I90)</f>
        <v>0</v>
      </c>
      <c r="J91" s="723"/>
    </row>
    <row r="92" spans="1:15" s="245" customFormat="1" ht="14.25" hidden="1" thickTop="1" thickBot="1" x14ac:dyDescent="0.25">
      <c r="A92" s="644" t="s">
        <v>251</v>
      </c>
      <c r="B92" s="645"/>
      <c r="C92" s="645"/>
      <c r="D92" s="645"/>
      <c r="E92" s="645"/>
      <c r="F92" s="646"/>
      <c r="H92" s="644" t="s">
        <v>252</v>
      </c>
      <c r="I92" s="645"/>
      <c r="J92" s="646"/>
      <c r="O92" s="245">
        <f>1816.27*1.1</f>
        <v>1997.8970000000002</v>
      </c>
    </row>
    <row r="93" spans="1:15" s="245" customFormat="1" hidden="1" x14ac:dyDescent="0.2">
      <c r="A93" s="661" t="s">
        <v>218</v>
      </c>
      <c r="B93" s="662"/>
      <c r="C93" s="662"/>
      <c r="D93" s="662"/>
      <c r="E93" s="649">
        <f>O92</f>
        <v>1997.8970000000002</v>
      </c>
      <c r="F93" s="650"/>
      <c r="H93" s="265" t="s">
        <v>218</v>
      </c>
      <c r="I93" s="649">
        <f>E93</f>
        <v>1997.8970000000002</v>
      </c>
      <c r="J93" s="650"/>
      <c r="L93" s="259" t="e">
        <f>#REF!</f>
        <v>#REF!</v>
      </c>
    </row>
    <row r="94" spans="1:15" s="245" customFormat="1" hidden="1" x14ac:dyDescent="0.2">
      <c r="A94" s="626" t="s">
        <v>258</v>
      </c>
      <c r="B94" s="627"/>
      <c r="C94" s="627"/>
      <c r="D94" s="627"/>
      <c r="E94" s="628">
        <f>E64</f>
        <v>187.4</v>
      </c>
      <c r="F94" s="629"/>
      <c r="H94" s="260" t="s">
        <v>258</v>
      </c>
      <c r="I94" s="590">
        <f>E94</f>
        <v>187.4</v>
      </c>
      <c r="J94" s="591"/>
    </row>
    <row r="95" spans="1:15" s="245" customFormat="1" hidden="1" x14ac:dyDescent="0.2">
      <c r="A95" s="634" t="s">
        <v>230</v>
      </c>
      <c r="B95" s="635"/>
      <c r="C95" s="635"/>
      <c r="D95" s="635"/>
      <c r="E95" s="590">
        <f>8*E93/220*2</f>
        <v>145.30160000000001</v>
      </c>
      <c r="F95" s="591"/>
      <c r="H95" s="241" t="s">
        <v>230</v>
      </c>
      <c r="I95" s="590">
        <f>8*I93/220*2</f>
        <v>145.30160000000001</v>
      </c>
      <c r="J95" s="591"/>
    </row>
    <row r="96" spans="1:15" s="245" customFormat="1" hidden="1" x14ac:dyDescent="0.2">
      <c r="A96" s="626" t="s">
        <v>220</v>
      </c>
      <c r="B96" s="627"/>
      <c r="C96" s="627"/>
      <c r="D96" s="627"/>
      <c r="E96" s="628">
        <v>0</v>
      </c>
      <c r="F96" s="629"/>
      <c r="G96" s="266"/>
      <c r="H96" s="260" t="s">
        <v>220</v>
      </c>
      <c r="I96" s="628">
        <v>0</v>
      </c>
      <c r="J96" s="629"/>
    </row>
    <row r="97" spans="1:12" s="245" customFormat="1" hidden="1" x14ac:dyDescent="0.2">
      <c r="A97" s="626" t="s">
        <v>225</v>
      </c>
      <c r="B97" s="627"/>
      <c r="C97" s="627"/>
      <c r="D97" s="627"/>
      <c r="E97" s="628">
        <v>0</v>
      </c>
      <c r="F97" s="629"/>
      <c r="H97" s="260" t="s">
        <v>225</v>
      </c>
      <c r="I97" s="628">
        <f>SUM(I93*20/100)</f>
        <v>399.57940000000002</v>
      </c>
      <c r="J97" s="629"/>
    </row>
    <row r="98" spans="1:12" s="245" customFormat="1" hidden="1" x14ac:dyDescent="0.2">
      <c r="A98" s="651" t="s">
        <v>17</v>
      </c>
      <c r="B98" s="652"/>
      <c r="C98" s="652"/>
      <c r="D98" s="652"/>
      <c r="E98" s="653">
        <f>SUM(E93:F97)</f>
        <v>2330.5986000000003</v>
      </c>
      <c r="F98" s="654"/>
      <c r="H98" s="267" t="s">
        <v>17</v>
      </c>
      <c r="I98" s="653">
        <f>SUM(I93:J97)</f>
        <v>2730.1780000000003</v>
      </c>
      <c r="J98" s="654"/>
    </row>
    <row r="99" spans="1:12" s="245" customFormat="1" hidden="1" x14ac:dyDescent="0.2">
      <c r="A99" s="626" t="s">
        <v>221</v>
      </c>
      <c r="B99" s="627"/>
      <c r="C99" s="627"/>
      <c r="D99" s="627"/>
      <c r="E99" s="590">
        <f>E98*$I$12</f>
        <v>1696.9407646402797</v>
      </c>
      <c r="F99" s="591"/>
      <c r="H99" s="260" t="s">
        <v>221</v>
      </c>
      <c r="I99" s="590">
        <f>I98*$I$12</f>
        <v>1987.8799991230019</v>
      </c>
      <c r="J99" s="591"/>
    </row>
    <row r="100" spans="1:12" s="245" customFormat="1" hidden="1" x14ac:dyDescent="0.2">
      <c r="A100" s="634" t="s">
        <v>222</v>
      </c>
      <c r="B100" s="635"/>
      <c r="C100" s="635"/>
      <c r="D100" s="635"/>
      <c r="E100" s="590">
        <f>E22</f>
        <v>390</v>
      </c>
      <c r="F100" s="591"/>
      <c r="H100" s="241" t="s">
        <v>222</v>
      </c>
      <c r="I100" s="590">
        <f>E22</f>
        <v>390</v>
      </c>
      <c r="J100" s="591"/>
    </row>
    <row r="101" spans="1:12" s="245" customFormat="1" hidden="1" x14ac:dyDescent="0.2">
      <c r="A101" s="634" t="s">
        <v>289</v>
      </c>
      <c r="B101" s="635"/>
      <c r="C101" s="635"/>
      <c r="D101" s="635"/>
      <c r="E101" s="590">
        <v>40.58</v>
      </c>
      <c r="F101" s="591"/>
      <c r="H101" s="241" t="s">
        <v>288</v>
      </c>
      <c r="I101" s="590">
        <v>40.58</v>
      </c>
      <c r="J101" s="591"/>
    </row>
    <row r="102" spans="1:12" s="245" customFormat="1" hidden="1" x14ac:dyDescent="0.2">
      <c r="A102" s="634" t="s">
        <v>229</v>
      </c>
      <c r="B102" s="635"/>
      <c r="C102" s="635"/>
      <c r="D102" s="635"/>
      <c r="E102" s="590">
        <f>E87</f>
        <v>758.33333333333337</v>
      </c>
      <c r="F102" s="591"/>
      <c r="H102" s="241" t="s">
        <v>229</v>
      </c>
      <c r="I102" s="590">
        <f>E102</f>
        <v>758.33333333333337</v>
      </c>
      <c r="J102" s="591"/>
    </row>
    <row r="103" spans="1:12" s="245" customFormat="1" hidden="1" x14ac:dyDescent="0.2">
      <c r="A103" s="634" t="s">
        <v>29</v>
      </c>
      <c r="B103" s="635"/>
      <c r="C103" s="635"/>
      <c r="D103" s="635"/>
      <c r="E103" s="590">
        <f>SUM(E93*0.5/12)</f>
        <v>83.24570833333334</v>
      </c>
      <c r="F103" s="591"/>
      <c r="H103" s="241" t="s">
        <v>29</v>
      </c>
      <c r="I103" s="590">
        <f>SUM(I93*0.5/12)</f>
        <v>83.24570833333334</v>
      </c>
      <c r="J103" s="591"/>
    </row>
    <row r="104" spans="1:12" s="245" customFormat="1" ht="13.5" hidden="1" thickBot="1" x14ac:dyDescent="0.25">
      <c r="A104" s="647" t="s">
        <v>223</v>
      </c>
      <c r="B104" s="648"/>
      <c r="C104" s="648"/>
      <c r="D104" s="648"/>
      <c r="E104" s="592">
        <f>SUM(E98:F103)</f>
        <v>5299.6984063069458</v>
      </c>
      <c r="F104" s="593"/>
      <c r="H104" s="263" t="s">
        <v>223</v>
      </c>
      <c r="I104" s="592">
        <f>SUM(I98:J103)</f>
        <v>5990.2170407896683</v>
      </c>
      <c r="J104" s="593"/>
    </row>
    <row r="105" spans="1:12" s="245" customFormat="1" ht="13.5" hidden="1" thickBot="1" x14ac:dyDescent="0.25">
      <c r="A105" s="681" t="s">
        <v>269</v>
      </c>
      <c r="B105" s="682"/>
      <c r="C105" s="682"/>
      <c r="D105" s="682"/>
      <c r="E105" s="679"/>
      <c r="F105" s="680"/>
      <c r="G105" s="244"/>
      <c r="H105" s="268" t="s">
        <v>270</v>
      </c>
      <c r="I105" s="679"/>
      <c r="J105" s="680"/>
    </row>
    <row r="106" spans="1:12" s="245" customFormat="1" ht="13.5" hidden="1" thickBot="1" x14ac:dyDescent="0.25">
      <c r="A106" s="720" t="s">
        <v>271</v>
      </c>
      <c r="B106" s="721"/>
      <c r="C106" s="721"/>
      <c r="D106" s="721"/>
      <c r="E106" s="721"/>
      <c r="F106" s="721"/>
      <c r="G106" s="721"/>
      <c r="H106" s="721"/>
      <c r="I106" s="722">
        <f>SUM(E105+I105)</f>
        <v>0</v>
      </c>
      <c r="J106" s="723"/>
    </row>
    <row r="107" spans="1:12" s="245" customFormat="1" ht="14.25" hidden="1" thickTop="1" thickBot="1" x14ac:dyDescent="0.25">
      <c r="A107" s="644" t="s">
        <v>253</v>
      </c>
      <c r="B107" s="645"/>
      <c r="C107" s="645"/>
      <c r="D107" s="645"/>
      <c r="E107" s="645"/>
      <c r="F107" s="646"/>
      <c r="H107" s="644" t="s">
        <v>254</v>
      </c>
      <c r="I107" s="645"/>
      <c r="J107" s="646"/>
    </row>
    <row r="108" spans="1:12" s="245" customFormat="1" hidden="1" x14ac:dyDescent="0.2">
      <c r="A108" s="661" t="s">
        <v>218</v>
      </c>
      <c r="B108" s="662"/>
      <c r="C108" s="662"/>
      <c r="D108" s="662"/>
      <c r="E108" s="649">
        <f>E93</f>
        <v>1997.8970000000002</v>
      </c>
      <c r="F108" s="650"/>
      <c r="H108" s="265" t="s">
        <v>218</v>
      </c>
      <c r="I108" s="649">
        <f>E108</f>
        <v>1997.8970000000002</v>
      </c>
      <c r="J108" s="650"/>
      <c r="L108" s="259" t="e">
        <f>#REF!</f>
        <v>#REF!</v>
      </c>
    </row>
    <row r="109" spans="1:12" s="245" customFormat="1" hidden="1" x14ac:dyDescent="0.2">
      <c r="A109" s="626" t="s">
        <v>258</v>
      </c>
      <c r="B109" s="627"/>
      <c r="C109" s="627"/>
      <c r="D109" s="627"/>
      <c r="E109" s="628">
        <f>E94</f>
        <v>187.4</v>
      </c>
      <c r="F109" s="629"/>
      <c r="H109" s="260" t="s">
        <v>258</v>
      </c>
      <c r="I109" s="590">
        <f>E109</f>
        <v>187.4</v>
      </c>
      <c r="J109" s="591"/>
    </row>
    <row r="110" spans="1:12" s="245" customFormat="1" hidden="1" x14ac:dyDescent="0.2">
      <c r="A110" s="634" t="s">
        <v>230</v>
      </c>
      <c r="B110" s="635"/>
      <c r="C110" s="635"/>
      <c r="D110" s="635"/>
      <c r="E110" s="590">
        <f>8*E108/220*2</f>
        <v>145.30160000000001</v>
      </c>
      <c r="F110" s="591"/>
      <c r="H110" s="241" t="s">
        <v>230</v>
      </c>
      <c r="I110" s="590">
        <f>8*I108/220*2</f>
        <v>145.30160000000001</v>
      </c>
      <c r="J110" s="591"/>
    </row>
    <row r="111" spans="1:12" s="245" customFormat="1" hidden="1" x14ac:dyDescent="0.2">
      <c r="A111" s="626" t="s">
        <v>220</v>
      </c>
      <c r="B111" s="627"/>
      <c r="C111" s="627"/>
      <c r="D111" s="627"/>
      <c r="E111" s="628">
        <v>0</v>
      </c>
      <c r="F111" s="629"/>
      <c r="G111" s="266"/>
      <c r="H111" s="260" t="s">
        <v>220</v>
      </c>
      <c r="I111" s="628">
        <v>0</v>
      </c>
      <c r="J111" s="629"/>
    </row>
    <row r="112" spans="1:12" s="245" customFormat="1" hidden="1" x14ac:dyDescent="0.2">
      <c r="A112" s="626" t="s">
        <v>225</v>
      </c>
      <c r="B112" s="627"/>
      <c r="C112" s="627"/>
      <c r="D112" s="627"/>
      <c r="E112" s="628">
        <v>0</v>
      </c>
      <c r="F112" s="629"/>
      <c r="H112" s="260" t="s">
        <v>225</v>
      </c>
      <c r="I112" s="628">
        <f>SUM(I108*20/100)</f>
        <v>399.57940000000002</v>
      </c>
      <c r="J112" s="629"/>
    </row>
    <row r="113" spans="1:15" s="245" customFormat="1" hidden="1" x14ac:dyDescent="0.2">
      <c r="A113" s="651" t="s">
        <v>17</v>
      </c>
      <c r="B113" s="652"/>
      <c r="C113" s="652"/>
      <c r="D113" s="652"/>
      <c r="E113" s="653">
        <f>SUM(E108:F112)</f>
        <v>2330.5986000000003</v>
      </c>
      <c r="F113" s="654"/>
      <c r="H113" s="267" t="s">
        <v>17</v>
      </c>
      <c r="I113" s="653">
        <f>SUM(I108:J112)</f>
        <v>2730.1780000000003</v>
      </c>
      <c r="J113" s="654"/>
    </row>
    <row r="114" spans="1:15" s="245" customFormat="1" hidden="1" x14ac:dyDescent="0.2">
      <c r="A114" s="626" t="s">
        <v>221</v>
      </c>
      <c r="B114" s="627"/>
      <c r="C114" s="627"/>
      <c r="D114" s="627"/>
      <c r="E114" s="590">
        <f>E113*$I$12</f>
        <v>1696.9407646402797</v>
      </c>
      <c r="F114" s="591"/>
      <c r="H114" s="260" t="s">
        <v>221</v>
      </c>
      <c r="I114" s="590">
        <f>I113*$I$12</f>
        <v>1987.8799991230019</v>
      </c>
      <c r="J114" s="591"/>
    </row>
    <row r="115" spans="1:15" s="245" customFormat="1" hidden="1" x14ac:dyDescent="0.2">
      <c r="A115" s="634" t="s">
        <v>222</v>
      </c>
      <c r="B115" s="635"/>
      <c r="C115" s="635"/>
      <c r="D115" s="635"/>
      <c r="E115" s="590">
        <f>E22</f>
        <v>390</v>
      </c>
      <c r="F115" s="591"/>
      <c r="H115" s="241" t="s">
        <v>222</v>
      </c>
      <c r="I115" s="590">
        <f>E22</f>
        <v>390</v>
      </c>
      <c r="J115" s="591"/>
    </row>
    <row r="116" spans="1:15" s="245" customFormat="1" hidden="1" x14ac:dyDescent="0.2">
      <c r="A116" s="634" t="s">
        <v>289</v>
      </c>
      <c r="B116" s="635"/>
      <c r="C116" s="635"/>
      <c r="D116" s="635"/>
      <c r="E116" s="590">
        <v>40.58</v>
      </c>
      <c r="F116" s="591"/>
      <c r="H116" s="241" t="s">
        <v>288</v>
      </c>
      <c r="I116" s="590">
        <v>40.58</v>
      </c>
      <c r="J116" s="591"/>
      <c r="O116" s="245">
        <f>3403.94*1.1</f>
        <v>3744.3340000000003</v>
      </c>
    </row>
    <row r="117" spans="1:15" s="245" customFormat="1" hidden="1" x14ac:dyDescent="0.2">
      <c r="A117" s="634" t="s">
        <v>229</v>
      </c>
      <c r="B117" s="635"/>
      <c r="C117" s="635"/>
      <c r="D117" s="635"/>
      <c r="E117" s="590">
        <f>E102</f>
        <v>758.33333333333337</v>
      </c>
      <c r="F117" s="591"/>
      <c r="H117" s="241" t="s">
        <v>229</v>
      </c>
      <c r="I117" s="590">
        <f>E117</f>
        <v>758.33333333333337</v>
      </c>
      <c r="J117" s="591"/>
    </row>
    <row r="118" spans="1:15" s="245" customFormat="1" hidden="1" x14ac:dyDescent="0.2">
      <c r="A118" s="634" t="s">
        <v>29</v>
      </c>
      <c r="B118" s="635"/>
      <c r="C118" s="635"/>
      <c r="D118" s="635"/>
      <c r="E118" s="590">
        <f>SUM(E108*0.5/12)</f>
        <v>83.24570833333334</v>
      </c>
      <c r="F118" s="591"/>
      <c r="H118" s="241" t="s">
        <v>29</v>
      </c>
      <c r="I118" s="590">
        <f>SUM(I108*0.5/12)</f>
        <v>83.24570833333334</v>
      </c>
      <c r="J118" s="591"/>
    </row>
    <row r="119" spans="1:15" s="245" customFormat="1" ht="13.5" hidden="1" thickBot="1" x14ac:dyDescent="0.25">
      <c r="A119" s="647" t="s">
        <v>223</v>
      </c>
      <c r="B119" s="648"/>
      <c r="C119" s="648"/>
      <c r="D119" s="648"/>
      <c r="E119" s="592">
        <f>SUM(E113:F118)</f>
        <v>5299.6984063069458</v>
      </c>
      <c r="F119" s="593"/>
      <c r="H119" s="263" t="s">
        <v>223</v>
      </c>
      <c r="I119" s="592">
        <f>SUM(I113:J118)</f>
        <v>5990.2170407896683</v>
      </c>
      <c r="J119" s="593"/>
    </row>
    <row r="120" spans="1:15" s="245" customFormat="1" ht="13.5" hidden="1" thickBot="1" x14ac:dyDescent="0.25">
      <c r="A120" s="681" t="s">
        <v>272</v>
      </c>
      <c r="B120" s="682"/>
      <c r="C120" s="682"/>
      <c r="D120" s="682"/>
      <c r="E120" s="679"/>
      <c r="F120" s="680"/>
      <c r="G120" s="244"/>
      <c r="H120" s="268" t="s">
        <v>273</v>
      </c>
      <c r="I120" s="679"/>
      <c r="J120" s="680"/>
    </row>
    <row r="121" spans="1:15" s="245" customFormat="1" ht="13.5" hidden="1" thickBot="1" x14ac:dyDescent="0.25">
      <c r="A121" s="720" t="s">
        <v>274</v>
      </c>
      <c r="B121" s="721"/>
      <c r="C121" s="721"/>
      <c r="D121" s="721"/>
      <c r="E121" s="721"/>
      <c r="F121" s="721"/>
      <c r="G121" s="721"/>
      <c r="H121" s="721"/>
      <c r="I121" s="722">
        <f>SUM(E120+I120)</f>
        <v>0</v>
      </c>
      <c r="J121" s="723"/>
    </row>
    <row r="122" spans="1:15" s="245" customFormat="1" ht="14.25" thickTop="1" thickBot="1" x14ac:dyDescent="0.25">
      <c r="A122" s="644" t="s">
        <v>329</v>
      </c>
      <c r="B122" s="645"/>
      <c r="C122" s="645"/>
      <c r="D122" s="645"/>
      <c r="E122" s="645"/>
      <c r="F122" s="646"/>
      <c r="H122" s="728" t="s">
        <v>235</v>
      </c>
      <c r="I122" s="729"/>
      <c r="J122" s="730"/>
    </row>
    <row r="123" spans="1:15" s="245" customFormat="1" x14ac:dyDescent="0.2">
      <c r="A123" s="661" t="s">
        <v>330</v>
      </c>
      <c r="B123" s="662"/>
      <c r="C123" s="662"/>
      <c r="D123" s="662"/>
      <c r="E123" s="649">
        <f>16745.75/1.7343</f>
        <v>9655.6247477368397</v>
      </c>
      <c r="F123" s="650"/>
      <c r="H123" s="303" t="s">
        <v>224</v>
      </c>
      <c r="I123" s="724">
        <v>0</v>
      </c>
      <c r="J123" s="725"/>
      <c r="L123" s="259" t="e">
        <f>#REF!</f>
        <v>#REF!</v>
      </c>
    </row>
    <row r="124" spans="1:15" s="245" customFormat="1" x14ac:dyDescent="0.2">
      <c r="A124" s="626" t="s">
        <v>245</v>
      </c>
      <c r="B124" s="627"/>
      <c r="C124" s="627"/>
      <c r="D124" s="627"/>
      <c r="E124" s="628">
        <f>I13*0.2</f>
        <v>199.60000000000002</v>
      </c>
      <c r="F124" s="629"/>
      <c r="H124" s="304" t="s">
        <v>275</v>
      </c>
      <c r="I124" s="726">
        <v>0</v>
      </c>
      <c r="J124" s="727"/>
    </row>
    <row r="125" spans="1:15" s="245" customFormat="1" x14ac:dyDescent="0.2">
      <c r="A125" s="634" t="s">
        <v>230</v>
      </c>
      <c r="B125" s="635"/>
      <c r="C125" s="635"/>
      <c r="D125" s="635"/>
      <c r="E125" s="590">
        <f>8*E123/220*2</f>
        <v>702.22725438086104</v>
      </c>
      <c r="F125" s="591"/>
      <c r="H125" s="304" t="s">
        <v>219</v>
      </c>
      <c r="I125" s="731">
        <v>0</v>
      </c>
      <c r="J125" s="732"/>
    </row>
    <row r="126" spans="1:15" s="245" customFormat="1" x14ac:dyDescent="0.2">
      <c r="A126" s="626" t="s">
        <v>220</v>
      </c>
      <c r="B126" s="627"/>
      <c r="C126" s="627"/>
      <c r="D126" s="627"/>
      <c r="E126" s="628" t="s">
        <v>365</v>
      </c>
      <c r="F126" s="629"/>
      <c r="G126" s="266"/>
      <c r="H126" s="304" t="s">
        <v>220</v>
      </c>
      <c r="I126" s="731">
        <v>0</v>
      </c>
      <c r="J126" s="732"/>
    </row>
    <row r="127" spans="1:15" s="245" customFormat="1" x14ac:dyDescent="0.2">
      <c r="A127" s="626" t="s">
        <v>225</v>
      </c>
      <c r="B127" s="627"/>
      <c r="C127" s="627"/>
      <c r="D127" s="627"/>
      <c r="E127" s="628" t="s">
        <v>365</v>
      </c>
      <c r="F127" s="629"/>
      <c r="H127" s="304" t="s">
        <v>225</v>
      </c>
      <c r="I127" s="726">
        <v>0</v>
      </c>
      <c r="J127" s="727"/>
    </row>
    <row r="128" spans="1:15" s="245" customFormat="1" x14ac:dyDescent="0.2">
      <c r="A128" s="651" t="s">
        <v>17</v>
      </c>
      <c r="B128" s="652"/>
      <c r="C128" s="652"/>
      <c r="D128" s="652"/>
      <c r="E128" s="653">
        <f>SUM(E123:F127)</f>
        <v>10557.452002117701</v>
      </c>
      <c r="F128" s="654"/>
      <c r="H128" s="304" t="s">
        <v>226</v>
      </c>
      <c r="I128" s="731">
        <v>0</v>
      </c>
      <c r="J128" s="732"/>
    </row>
    <row r="129" spans="1:12" s="245" customFormat="1" x14ac:dyDescent="0.2">
      <c r="A129" s="626" t="s">
        <v>221</v>
      </c>
      <c r="B129" s="627"/>
      <c r="C129" s="627"/>
      <c r="D129" s="627"/>
      <c r="E129" s="590">
        <f>E128*$I$12</f>
        <v>7687.0254161856365</v>
      </c>
      <c r="F129" s="591"/>
      <c r="H129" s="304" t="s">
        <v>221</v>
      </c>
      <c r="I129" s="731">
        <v>0</v>
      </c>
      <c r="J129" s="732"/>
    </row>
    <row r="130" spans="1:12" s="245" customFormat="1" x14ac:dyDescent="0.2">
      <c r="A130" s="634" t="s">
        <v>331</v>
      </c>
      <c r="B130" s="635"/>
      <c r="C130" s="635"/>
      <c r="D130" s="635"/>
      <c r="E130" s="590" t="s">
        <v>365</v>
      </c>
      <c r="F130" s="591"/>
      <c r="H130" s="305" t="s">
        <v>227</v>
      </c>
      <c r="I130" s="707">
        <v>0</v>
      </c>
      <c r="J130" s="708"/>
    </row>
    <row r="131" spans="1:12" s="245" customFormat="1" x14ac:dyDescent="0.2">
      <c r="A131" s="634" t="s">
        <v>289</v>
      </c>
      <c r="B131" s="635"/>
      <c r="C131" s="635"/>
      <c r="D131" s="635"/>
      <c r="E131" s="590">
        <v>40.58</v>
      </c>
      <c r="F131" s="591"/>
      <c r="H131" s="305" t="s">
        <v>228</v>
      </c>
      <c r="I131" s="707">
        <v>0</v>
      </c>
      <c r="J131" s="708"/>
    </row>
    <row r="132" spans="1:12" s="245" customFormat="1" x14ac:dyDescent="0.2">
      <c r="A132" s="241" t="s">
        <v>509</v>
      </c>
      <c r="B132" s="261"/>
      <c r="C132" s="261"/>
      <c r="D132" s="508"/>
      <c r="E132" s="590">
        <f>130+10</f>
        <v>140</v>
      </c>
      <c r="F132" s="591"/>
      <c r="H132" s="305"/>
      <c r="I132" s="509"/>
      <c r="J132" s="510"/>
    </row>
    <row r="133" spans="1:12" s="245" customFormat="1" x14ac:dyDescent="0.2">
      <c r="A133" s="634" t="s">
        <v>229</v>
      </c>
      <c r="B133" s="635"/>
      <c r="C133" s="635"/>
      <c r="D133" s="635"/>
      <c r="E133" s="590">
        <f>E117</f>
        <v>758.33333333333337</v>
      </c>
      <c r="F133" s="591"/>
      <c r="H133" s="305" t="s">
        <v>229</v>
      </c>
      <c r="I133" s="707">
        <v>0</v>
      </c>
      <c r="J133" s="708"/>
    </row>
    <row r="134" spans="1:12" s="245" customFormat="1" x14ac:dyDescent="0.2">
      <c r="A134" s="634" t="s">
        <v>29</v>
      </c>
      <c r="B134" s="635"/>
      <c r="C134" s="635"/>
      <c r="D134" s="635"/>
      <c r="E134" s="959">
        <f>SUM(E123*0.7/12)</f>
        <v>563.24477695131566</v>
      </c>
      <c r="F134" s="960"/>
      <c r="H134" s="305"/>
      <c r="I134" s="309"/>
      <c r="J134" s="310"/>
    </row>
    <row r="135" spans="1:12" s="245" customFormat="1" ht="13.5" thickBot="1" x14ac:dyDescent="0.25">
      <c r="A135" s="647" t="s">
        <v>223</v>
      </c>
      <c r="B135" s="648"/>
      <c r="C135" s="648"/>
      <c r="D135" s="648"/>
      <c r="E135" s="592">
        <f>SUM(E128:F134)</f>
        <v>19746.635528587987</v>
      </c>
      <c r="F135" s="593"/>
      <c r="H135" s="304" t="s">
        <v>231</v>
      </c>
      <c r="I135" s="731">
        <f>SUM(I128:J134)</f>
        <v>0</v>
      </c>
      <c r="J135" s="732"/>
    </row>
    <row r="136" spans="1:12" s="245" customFormat="1" ht="25.5" customHeight="1" thickBot="1" x14ac:dyDescent="0.25">
      <c r="A136" s="733" t="s">
        <v>337</v>
      </c>
      <c r="B136" s="734"/>
      <c r="C136" s="734"/>
      <c r="D136" s="735"/>
      <c r="E136" s="679">
        <f>E135*'Lote 01 - P1-UTMB ASA SUL '!D292</f>
        <v>19746.635528587987</v>
      </c>
      <c r="F136" s="680"/>
      <c r="H136" s="311" t="s">
        <v>256</v>
      </c>
      <c r="I136" s="736">
        <f>SUM(I135*1.1)</f>
        <v>0</v>
      </c>
      <c r="J136" s="737"/>
    </row>
    <row r="137" spans="1:12" s="245" customFormat="1" ht="13.5" thickBot="1" x14ac:dyDescent="0.25">
      <c r="A137" s="663" t="s">
        <v>349</v>
      </c>
      <c r="B137" s="664"/>
      <c r="C137" s="664"/>
      <c r="D137" s="664"/>
      <c r="E137" s="664"/>
      <c r="F137" s="664"/>
      <c r="G137" s="664"/>
      <c r="H137" s="664"/>
      <c r="I137" s="659">
        <f>SUM(E136+I136)</f>
        <v>19746.635528587987</v>
      </c>
      <c r="J137" s="660"/>
    </row>
    <row r="138" spans="1:12" s="245" customFormat="1" ht="21" customHeight="1" thickTop="1" x14ac:dyDescent="0.2">
      <c r="A138" s="686" t="s">
        <v>352</v>
      </c>
      <c r="B138" s="686"/>
      <c r="C138" s="686"/>
      <c r="D138" s="686"/>
      <c r="E138" s="686"/>
      <c r="F138" s="686"/>
      <c r="G138" s="686"/>
      <c r="H138" s="686"/>
      <c r="I138" s="687">
        <f>SUM(I29+I45+I61+I76+I91+I106+I121+I137)</f>
        <v>53265.162596355571</v>
      </c>
      <c r="J138" s="687"/>
      <c r="L138" s="266"/>
    </row>
    <row r="139" spans="1:12" s="245" customFormat="1" x14ac:dyDescent="0.2"/>
    <row r="140" spans="1:12" s="245" customFormat="1" x14ac:dyDescent="0.2"/>
    <row r="141" spans="1:12" s="245" customFormat="1" x14ac:dyDescent="0.2">
      <c r="A141" s="695" t="s">
        <v>278</v>
      </c>
      <c r="B141" s="695"/>
      <c r="C141" s="695"/>
      <c r="D141" s="695"/>
      <c r="E141" s="695"/>
      <c r="F141" s="695"/>
      <c r="G141" s="695"/>
      <c r="H141" s="695"/>
      <c r="I141" s="695"/>
      <c r="J141" s="695"/>
    </row>
    <row r="142" spans="1:12" s="107" customFormat="1" x14ac:dyDescent="0.2">
      <c r="A142" s="581" t="s">
        <v>339</v>
      </c>
      <c r="B142" s="582"/>
      <c r="C142" s="582"/>
      <c r="D142" s="582"/>
      <c r="E142" s="582"/>
      <c r="F142" s="582"/>
      <c r="G142" s="582"/>
      <c r="H142" s="583"/>
    </row>
    <row r="143" spans="1:12" s="107" customFormat="1" ht="25.5" x14ac:dyDescent="0.2">
      <c r="A143" s="587" t="s">
        <v>27</v>
      </c>
      <c r="B143" s="588"/>
      <c r="C143" s="589"/>
      <c r="D143" s="243" t="s">
        <v>28</v>
      </c>
      <c r="E143" s="243" t="s">
        <v>99</v>
      </c>
      <c r="F143" s="103" t="s">
        <v>1</v>
      </c>
      <c r="G143" s="587" t="s">
        <v>86</v>
      </c>
      <c r="H143" s="589"/>
    </row>
    <row r="144" spans="1:12" s="107" customFormat="1" x14ac:dyDescent="0.2">
      <c r="A144" s="594" t="s">
        <v>35</v>
      </c>
      <c r="B144" s="595"/>
      <c r="C144" s="595"/>
      <c r="D144" s="958">
        <v>70.59</v>
      </c>
      <c r="E144" s="105">
        <f>3/12</f>
        <v>0.25</v>
      </c>
      <c r="F144" s="106" t="s">
        <v>100</v>
      </c>
      <c r="G144" s="596">
        <f t="shared" ref="G144:G152" si="0">ROUND(D144*E144,2)</f>
        <v>17.649999999999999</v>
      </c>
      <c r="H144" s="595"/>
    </row>
    <row r="145" spans="1:12" s="107" customFormat="1" x14ac:dyDescent="0.2">
      <c r="A145" s="594" t="s">
        <v>36</v>
      </c>
      <c r="B145" s="595"/>
      <c r="C145" s="595"/>
      <c r="D145" s="958">
        <v>53.28</v>
      </c>
      <c r="E145" s="105">
        <f>3/12</f>
        <v>0.25</v>
      </c>
      <c r="F145" s="106" t="s">
        <v>100</v>
      </c>
      <c r="G145" s="596">
        <f t="shared" si="0"/>
        <v>13.32</v>
      </c>
      <c r="H145" s="595"/>
    </row>
    <row r="146" spans="1:12" s="107" customFormat="1" x14ac:dyDescent="0.2">
      <c r="A146" s="594" t="s">
        <v>37</v>
      </c>
      <c r="B146" s="595"/>
      <c r="C146" s="595"/>
      <c r="D146" s="958">
        <v>28.9</v>
      </c>
      <c r="E146" s="105">
        <f>2/12</f>
        <v>0.16666666666666666</v>
      </c>
      <c r="F146" s="106" t="s">
        <v>101</v>
      </c>
      <c r="G146" s="596">
        <f t="shared" si="0"/>
        <v>4.82</v>
      </c>
      <c r="H146" s="595"/>
    </row>
    <row r="147" spans="1:12" s="107" customFormat="1" x14ac:dyDescent="0.2">
      <c r="A147" s="594" t="s">
        <v>38</v>
      </c>
      <c r="B147" s="595"/>
      <c r="C147" s="595"/>
      <c r="D147" s="958">
        <v>28.9</v>
      </c>
      <c r="E147" s="105"/>
      <c r="F147" s="106" t="s">
        <v>101</v>
      </c>
      <c r="G147" s="596">
        <f t="shared" si="0"/>
        <v>0</v>
      </c>
      <c r="H147" s="595"/>
    </row>
    <row r="148" spans="1:12" s="107" customFormat="1" x14ac:dyDescent="0.2">
      <c r="A148" s="594" t="s">
        <v>39</v>
      </c>
      <c r="B148" s="595"/>
      <c r="C148" s="595"/>
      <c r="D148" s="958">
        <v>9.2899999999999991</v>
      </c>
      <c r="E148" s="105">
        <f>3/12</f>
        <v>0.25</v>
      </c>
      <c r="F148" s="106" t="s">
        <v>100</v>
      </c>
      <c r="G148" s="596">
        <f t="shared" si="0"/>
        <v>2.3199999999999998</v>
      </c>
      <c r="H148" s="595"/>
    </row>
    <row r="149" spans="1:12" s="107" customFormat="1" x14ac:dyDescent="0.2">
      <c r="A149" s="594" t="s">
        <v>40</v>
      </c>
      <c r="B149" s="595"/>
      <c r="C149" s="595"/>
      <c r="D149" s="958">
        <v>12.13</v>
      </c>
      <c r="E149" s="105">
        <f>2/12</f>
        <v>0.16666666666666666</v>
      </c>
      <c r="F149" s="106" t="s">
        <v>100</v>
      </c>
      <c r="G149" s="596">
        <f t="shared" si="0"/>
        <v>2.02</v>
      </c>
      <c r="H149" s="595"/>
    </row>
    <row r="150" spans="1:12" s="107" customFormat="1" x14ac:dyDescent="0.2">
      <c r="A150" s="594" t="s">
        <v>41</v>
      </c>
      <c r="B150" s="595"/>
      <c r="C150" s="595"/>
      <c r="D150" s="958">
        <v>7.38</v>
      </c>
      <c r="E150" s="105"/>
      <c r="F150" s="106" t="s">
        <v>101</v>
      </c>
      <c r="G150" s="596">
        <f t="shared" si="0"/>
        <v>0</v>
      </c>
      <c r="H150" s="595"/>
    </row>
    <row r="151" spans="1:12" s="107" customFormat="1" x14ac:dyDescent="0.2">
      <c r="A151" s="594" t="s">
        <v>42</v>
      </c>
      <c r="B151" s="595"/>
      <c r="C151" s="595"/>
      <c r="D151" s="958">
        <v>19.8</v>
      </c>
      <c r="E151" s="105"/>
      <c r="F151" s="106" t="s">
        <v>100</v>
      </c>
      <c r="G151" s="596">
        <f t="shared" si="0"/>
        <v>0</v>
      </c>
      <c r="H151" s="595"/>
    </row>
    <row r="152" spans="1:12" s="107" customFormat="1" x14ac:dyDescent="0.2">
      <c r="A152" s="594" t="s">
        <v>45</v>
      </c>
      <c r="B152" s="595"/>
      <c r="C152" s="595"/>
      <c r="D152" s="958">
        <v>4.1399999999999997</v>
      </c>
      <c r="E152" s="105"/>
      <c r="F152" s="106" t="s">
        <v>100</v>
      </c>
      <c r="G152" s="596">
        <f t="shared" si="0"/>
        <v>0</v>
      </c>
      <c r="H152" s="595"/>
    </row>
    <row r="153" spans="1:12" s="107" customFormat="1" x14ac:dyDescent="0.2">
      <c r="A153" s="594" t="s">
        <v>279</v>
      </c>
      <c r="B153" s="595"/>
      <c r="C153" s="595"/>
      <c r="D153" s="958">
        <v>13.73</v>
      </c>
      <c r="E153" s="105">
        <v>2</v>
      </c>
      <c r="F153" s="106" t="s">
        <v>100</v>
      </c>
      <c r="G153" s="596">
        <f>D153*E153</f>
        <v>27.46</v>
      </c>
      <c r="H153" s="595"/>
    </row>
    <row r="154" spans="1:12" s="107" customFormat="1" x14ac:dyDescent="0.2">
      <c r="A154" s="594" t="s">
        <v>43</v>
      </c>
      <c r="B154" s="595"/>
      <c r="C154" s="595"/>
      <c r="D154" s="958">
        <v>28.9</v>
      </c>
      <c r="E154" s="105">
        <f>1/12</f>
        <v>8.3333333333333329E-2</v>
      </c>
      <c r="F154" s="106" t="s">
        <v>101</v>
      </c>
      <c r="G154" s="596">
        <f>ROUND(D154*E154,2)</f>
        <v>2.41</v>
      </c>
      <c r="H154" s="595"/>
    </row>
    <row r="155" spans="1:12" s="107" customFormat="1" x14ac:dyDescent="0.2">
      <c r="A155" s="250"/>
      <c r="B155" s="269"/>
      <c r="C155" s="110"/>
      <c r="D155" s="250"/>
      <c r="E155" s="269"/>
      <c r="F155" s="110"/>
      <c r="G155" s="597">
        <f>SUM(G144:G154)</f>
        <v>70</v>
      </c>
      <c r="H155" s="598"/>
    </row>
    <row r="156" spans="1:12" s="107" customFormat="1" x14ac:dyDescent="0.2">
      <c r="A156" s="587" t="s">
        <v>102</v>
      </c>
      <c r="B156" s="588"/>
      <c r="C156" s="589"/>
      <c r="D156" s="250"/>
      <c r="E156" s="269"/>
      <c r="F156" s="110"/>
      <c r="G156" s="599">
        <f>'Lote 01 - P1-UTMB ASA SUL '!D278+'Lote 01 - P1-UTMB ASA SUL '!D279</f>
        <v>2</v>
      </c>
      <c r="H156" s="598"/>
    </row>
    <row r="157" spans="1:12" s="107" customFormat="1" x14ac:dyDescent="0.2">
      <c r="A157" s="584" t="s">
        <v>91</v>
      </c>
      <c r="B157" s="585"/>
      <c r="C157" s="586"/>
      <c r="D157" s="250"/>
      <c r="E157" s="269"/>
      <c r="F157" s="110"/>
      <c r="G157" s="600">
        <f>ROUND(G155*G156,2)</f>
        <v>140</v>
      </c>
      <c r="H157" s="598"/>
      <c r="I157" s="270"/>
      <c r="J157" s="270"/>
    </row>
    <row r="158" spans="1:12" s="107" customFormat="1" ht="8.25" customHeight="1" x14ac:dyDescent="0.2">
      <c r="A158" s="271"/>
      <c r="C158" s="271"/>
      <c r="D158" s="26"/>
      <c r="E158" s="271"/>
      <c r="F158" s="271"/>
      <c r="G158" s="272"/>
      <c r="H158" s="272"/>
      <c r="I158" s="271"/>
      <c r="J158" s="271"/>
      <c r="K158" s="26"/>
      <c r="L158" s="271"/>
    </row>
    <row r="159" spans="1:12" s="107" customFormat="1" x14ac:dyDescent="0.2">
      <c r="A159" s="581" t="s">
        <v>343</v>
      </c>
      <c r="B159" s="582"/>
      <c r="C159" s="582"/>
      <c r="D159" s="582"/>
      <c r="E159" s="582"/>
      <c r="F159" s="582"/>
      <c r="G159" s="582"/>
      <c r="H159" s="583"/>
    </row>
    <row r="160" spans="1:12" s="107" customFormat="1" ht="25.5" x14ac:dyDescent="0.2">
      <c r="A160" s="587" t="s">
        <v>27</v>
      </c>
      <c r="B160" s="588"/>
      <c r="C160" s="589"/>
      <c r="D160" s="243" t="s">
        <v>28</v>
      </c>
      <c r="E160" s="243" t="s">
        <v>99</v>
      </c>
      <c r="F160" s="103" t="s">
        <v>1</v>
      </c>
      <c r="G160" s="587" t="s">
        <v>86</v>
      </c>
      <c r="H160" s="589"/>
    </row>
    <row r="161" spans="1:12" s="107" customFormat="1" x14ac:dyDescent="0.2">
      <c r="A161" s="594" t="s">
        <v>35</v>
      </c>
      <c r="B161" s="595"/>
      <c r="C161" s="595"/>
      <c r="D161" s="958">
        <v>70.59</v>
      </c>
      <c r="E161" s="105">
        <f>3/12</f>
        <v>0.25</v>
      </c>
      <c r="F161" s="106" t="s">
        <v>100</v>
      </c>
      <c r="G161" s="596">
        <f t="shared" ref="G161:G169" si="1">ROUND(D161*E161,2)</f>
        <v>17.649999999999999</v>
      </c>
      <c r="H161" s="595"/>
    </row>
    <row r="162" spans="1:12" s="107" customFormat="1" x14ac:dyDescent="0.2">
      <c r="A162" s="594" t="s">
        <v>36</v>
      </c>
      <c r="B162" s="595"/>
      <c r="C162" s="595"/>
      <c r="D162" s="958">
        <v>53.28</v>
      </c>
      <c r="E162" s="105">
        <f>3/12</f>
        <v>0.25</v>
      </c>
      <c r="F162" s="106" t="s">
        <v>100</v>
      </c>
      <c r="G162" s="596">
        <f t="shared" si="1"/>
        <v>13.32</v>
      </c>
      <c r="H162" s="595"/>
    </row>
    <row r="163" spans="1:12" s="107" customFormat="1" x14ac:dyDescent="0.2">
      <c r="A163" s="594" t="s">
        <v>37</v>
      </c>
      <c r="B163" s="595"/>
      <c r="C163" s="595"/>
      <c r="D163" s="958">
        <v>28.9</v>
      </c>
      <c r="E163" s="105">
        <f>2/12</f>
        <v>0.16666666666666666</v>
      </c>
      <c r="F163" s="106" t="s">
        <v>101</v>
      </c>
      <c r="G163" s="596">
        <f t="shared" si="1"/>
        <v>4.82</v>
      </c>
      <c r="H163" s="595"/>
    </row>
    <row r="164" spans="1:12" s="107" customFormat="1" x14ac:dyDescent="0.2">
      <c r="A164" s="594" t="s">
        <v>38</v>
      </c>
      <c r="B164" s="595"/>
      <c r="C164" s="595"/>
      <c r="D164" s="958">
        <v>28.9</v>
      </c>
      <c r="E164" s="105"/>
      <c r="F164" s="106" t="s">
        <v>101</v>
      </c>
      <c r="G164" s="596">
        <f t="shared" si="1"/>
        <v>0</v>
      </c>
      <c r="H164" s="595"/>
    </row>
    <row r="165" spans="1:12" s="107" customFormat="1" x14ac:dyDescent="0.2">
      <c r="A165" s="594" t="s">
        <v>39</v>
      </c>
      <c r="B165" s="595"/>
      <c r="C165" s="595"/>
      <c r="D165" s="958">
        <v>9.2899999999999991</v>
      </c>
      <c r="E165" s="105">
        <f>3/12</f>
        <v>0.25</v>
      </c>
      <c r="F165" s="106" t="s">
        <v>100</v>
      </c>
      <c r="G165" s="596">
        <f t="shared" si="1"/>
        <v>2.3199999999999998</v>
      </c>
      <c r="H165" s="595"/>
    </row>
    <row r="166" spans="1:12" s="107" customFormat="1" x14ac:dyDescent="0.2">
      <c r="A166" s="594" t="s">
        <v>40</v>
      </c>
      <c r="B166" s="595"/>
      <c r="C166" s="595"/>
      <c r="D166" s="958">
        <v>12.13</v>
      </c>
      <c r="E166" s="105">
        <f>2/12</f>
        <v>0.16666666666666666</v>
      </c>
      <c r="F166" s="106" t="s">
        <v>100</v>
      </c>
      <c r="G166" s="596">
        <f t="shared" si="1"/>
        <v>2.02</v>
      </c>
      <c r="H166" s="595"/>
    </row>
    <row r="167" spans="1:12" s="107" customFormat="1" x14ac:dyDescent="0.2">
      <c r="A167" s="594" t="s">
        <v>41</v>
      </c>
      <c r="B167" s="595"/>
      <c r="C167" s="595"/>
      <c r="D167" s="958">
        <v>7.38</v>
      </c>
      <c r="E167" s="105"/>
      <c r="F167" s="106" t="s">
        <v>101</v>
      </c>
      <c r="G167" s="596">
        <f t="shared" si="1"/>
        <v>0</v>
      </c>
      <c r="H167" s="595"/>
    </row>
    <row r="168" spans="1:12" s="107" customFormat="1" x14ac:dyDescent="0.2">
      <c r="A168" s="594" t="s">
        <v>42</v>
      </c>
      <c r="B168" s="595"/>
      <c r="C168" s="595"/>
      <c r="D168" s="958">
        <v>19.8</v>
      </c>
      <c r="E168" s="105"/>
      <c r="F168" s="106" t="s">
        <v>100</v>
      </c>
      <c r="G168" s="596">
        <f t="shared" si="1"/>
        <v>0</v>
      </c>
      <c r="H168" s="595"/>
    </row>
    <row r="169" spans="1:12" s="107" customFormat="1" x14ac:dyDescent="0.2">
      <c r="A169" s="594" t="s">
        <v>45</v>
      </c>
      <c r="B169" s="595"/>
      <c r="C169" s="595"/>
      <c r="D169" s="958">
        <v>4.1399999999999997</v>
      </c>
      <c r="E169" s="105"/>
      <c r="F169" s="106" t="s">
        <v>100</v>
      </c>
      <c r="G169" s="596">
        <f t="shared" si="1"/>
        <v>0</v>
      </c>
      <c r="H169" s="595"/>
    </row>
    <row r="170" spans="1:12" s="107" customFormat="1" x14ac:dyDescent="0.2">
      <c r="A170" s="594" t="s">
        <v>279</v>
      </c>
      <c r="B170" s="595"/>
      <c r="C170" s="595"/>
      <c r="D170" s="958">
        <v>13.73</v>
      </c>
      <c r="E170" s="105">
        <v>2</v>
      </c>
      <c r="F170" s="106" t="s">
        <v>100</v>
      </c>
      <c r="G170" s="596">
        <f>D170*E170</f>
        <v>27.46</v>
      </c>
      <c r="H170" s="595"/>
    </row>
    <row r="171" spans="1:12" s="107" customFormat="1" x14ac:dyDescent="0.2">
      <c r="A171" s="594" t="s">
        <v>44</v>
      </c>
      <c r="B171" s="595"/>
      <c r="C171" s="595"/>
      <c r="D171" s="958">
        <v>28.9</v>
      </c>
      <c r="E171" s="105"/>
      <c r="F171" s="106" t="s">
        <v>101</v>
      </c>
      <c r="G171" s="596">
        <f>ROUND(D171*E171,2)</f>
        <v>0</v>
      </c>
      <c r="H171" s="595"/>
    </row>
    <row r="172" spans="1:12" s="107" customFormat="1" x14ac:dyDescent="0.2">
      <c r="A172" s="250"/>
      <c r="B172" s="269"/>
      <c r="C172" s="110"/>
      <c r="D172" s="250"/>
      <c r="E172" s="269"/>
      <c r="F172" s="110"/>
      <c r="G172" s="597">
        <f>SUM(G161:G171)</f>
        <v>67.59</v>
      </c>
      <c r="H172" s="598"/>
    </row>
    <row r="173" spans="1:12" s="107" customFormat="1" x14ac:dyDescent="0.2">
      <c r="A173" s="587" t="s">
        <v>102</v>
      </c>
      <c r="B173" s="588"/>
      <c r="C173" s="589"/>
      <c r="D173" s="250"/>
      <c r="E173" s="269"/>
      <c r="F173" s="110"/>
      <c r="G173" s="599">
        <f>'Lote 01 - P1-UTMB ASA SUL '!D280</f>
        <v>1</v>
      </c>
      <c r="H173" s="598"/>
    </row>
    <row r="174" spans="1:12" s="107" customFormat="1" x14ac:dyDescent="0.2">
      <c r="A174" s="584" t="s">
        <v>91</v>
      </c>
      <c r="B174" s="585"/>
      <c r="C174" s="586"/>
      <c r="D174" s="250"/>
      <c r="E174" s="269"/>
      <c r="F174" s="110"/>
      <c r="G174" s="600">
        <f>ROUND(G172*G173,2)</f>
        <v>67.59</v>
      </c>
      <c r="H174" s="598"/>
      <c r="I174" s="270"/>
      <c r="J174" s="270"/>
    </row>
    <row r="175" spans="1:12" s="107" customFormat="1" x14ac:dyDescent="0.2">
      <c r="A175" s="271"/>
      <c r="C175" s="271"/>
      <c r="D175" s="26"/>
      <c r="E175" s="271"/>
      <c r="F175" s="271"/>
      <c r="G175" s="272"/>
      <c r="H175" s="272"/>
      <c r="I175" s="271"/>
      <c r="J175" s="271"/>
      <c r="K175" s="26"/>
      <c r="L175" s="271"/>
    </row>
    <row r="176" spans="1:12" s="107" customFormat="1" x14ac:dyDescent="0.2">
      <c r="A176" s="581" t="s">
        <v>346</v>
      </c>
      <c r="B176" s="582"/>
      <c r="C176" s="582"/>
      <c r="D176" s="582"/>
      <c r="E176" s="582"/>
      <c r="F176" s="582"/>
      <c r="G176" s="582"/>
      <c r="H176" s="583"/>
    </row>
    <row r="177" spans="1:12" s="107" customFormat="1" ht="25.5" x14ac:dyDescent="0.2">
      <c r="A177" s="587" t="s">
        <v>27</v>
      </c>
      <c r="B177" s="588"/>
      <c r="C177" s="589"/>
      <c r="D177" s="243" t="s">
        <v>28</v>
      </c>
      <c r="E177" s="243" t="s">
        <v>99</v>
      </c>
      <c r="F177" s="103" t="s">
        <v>1</v>
      </c>
      <c r="G177" s="587" t="s">
        <v>86</v>
      </c>
      <c r="H177" s="589"/>
    </row>
    <row r="178" spans="1:12" s="107" customFormat="1" x14ac:dyDescent="0.2">
      <c r="A178" s="594" t="s">
        <v>35</v>
      </c>
      <c r="B178" s="595"/>
      <c r="C178" s="595"/>
      <c r="D178" s="958">
        <v>70.59</v>
      </c>
      <c r="E178" s="105">
        <f>3/12</f>
        <v>0.25</v>
      </c>
      <c r="F178" s="106" t="s">
        <v>100</v>
      </c>
      <c r="G178" s="596">
        <f t="shared" ref="G178:G186" si="2">ROUND(D178*E178,2)</f>
        <v>17.649999999999999</v>
      </c>
      <c r="H178" s="595"/>
    </row>
    <row r="179" spans="1:12" s="107" customFormat="1" x14ac:dyDescent="0.2">
      <c r="A179" s="594" t="s">
        <v>36</v>
      </c>
      <c r="B179" s="595"/>
      <c r="C179" s="595"/>
      <c r="D179" s="958">
        <v>53.28</v>
      </c>
      <c r="E179" s="105">
        <f>3/12</f>
        <v>0.25</v>
      </c>
      <c r="F179" s="106" t="s">
        <v>100</v>
      </c>
      <c r="G179" s="596">
        <f t="shared" si="2"/>
        <v>13.32</v>
      </c>
      <c r="H179" s="595"/>
    </row>
    <row r="180" spans="1:12" s="107" customFormat="1" x14ac:dyDescent="0.2">
      <c r="A180" s="594" t="s">
        <v>37</v>
      </c>
      <c r="B180" s="595"/>
      <c r="C180" s="595"/>
      <c r="D180" s="958">
        <v>28.9</v>
      </c>
      <c r="E180" s="105">
        <f>2/12</f>
        <v>0.16666666666666666</v>
      </c>
      <c r="F180" s="106" t="s">
        <v>101</v>
      </c>
      <c r="G180" s="596">
        <f t="shared" si="2"/>
        <v>4.82</v>
      </c>
      <c r="H180" s="595"/>
    </row>
    <row r="181" spans="1:12" s="107" customFormat="1" x14ac:dyDescent="0.2">
      <c r="A181" s="594" t="s">
        <v>38</v>
      </c>
      <c r="B181" s="595"/>
      <c r="C181" s="595"/>
      <c r="D181" s="958">
        <v>28.9</v>
      </c>
      <c r="E181" s="105"/>
      <c r="F181" s="106" t="s">
        <v>101</v>
      </c>
      <c r="G181" s="596">
        <f t="shared" si="2"/>
        <v>0</v>
      </c>
      <c r="H181" s="595"/>
    </row>
    <row r="182" spans="1:12" s="107" customFormat="1" x14ac:dyDescent="0.2">
      <c r="A182" s="594" t="s">
        <v>39</v>
      </c>
      <c r="B182" s="595"/>
      <c r="C182" s="595"/>
      <c r="D182" s="958">
        <v>9.2899999999999991</v>
      </c>
      <c r="E182" s="105">
        <f>3/12</f>
        <v>0.25</v>
      </c>
      <c r="F182" s="106" t="s">
        <v>100</v>
      </c>
      <c r="G182" s="596">
        <f t="shared" si="2"/>
        <v>2.3199999999999998</v>
      </c>
      <c r="H182" s="595"/>
    </row>
    <row r="183" spans="1:12" s="107" customFormat="1" x14ac:dyDescent="0.2">
      <c r="A183" s="594" t="s">
        <v>40</v>
      </c>
      <c r="B183" s="595"/>
      <c r="C183" s="595"/>
      <c r="D183" s="958">
        <v>12.13</v>
      </c>
      <c r="E183" s="105">
        <f>2/12</f>
        <v>0.16666666666666666</v>
      </c>
      <c r="F183" s="106" t="s">
        <v>100</v>
      </c>
      <c r="G183" s="596">
        <f t="shared" si="2"/>
        <v>2.02</v>
      </c>
      <c r="H183" s="595"/>
    </row>
    <row r="184" spans="1:12" s="107" customFormat="1" x14ac:dyDescent="0.2">
      <c r="A184" s="594" t="s">
        <v>41</v>
      </c>
      <c r="B184" s="595"/>
      <c r="C184" s="595"/>
      <c r="D184" s="958">
        <v>7.38</v>
      </c>
      <c r="E184" s="105"/>
      <c r="F184" s="106" t="s">
        <v>101</v>
      </c>
      <c r="G184" s="596">
        <f t="shared" si="2"/>
        <v>0</v>
      </c>
      <c r="H184" s="595"/>
    </row>
    <row r="185" spans="1:12" s="107" customFormat="1" x14ac:dyDescent="0.2">
      <c r="A185" s="594" t="s">
        <v>42</v>
      </c>
      <c r="B185" s="595"/>
      <c r="C185" s="595"/>
      <c r="D185" s="958">
        <v>19.8</v>
      </c>
      <c r="E185" s="105"/>
      <c r="F185" s="106" t="s">
        <v>100</v>
      </c>
      <c r="G185" s="596">
        <f t="shared" si="2"/>
        <v>0</v>
      </c>
      <c r="H185" s="595"/>
    </row>
    <row r="186" spans="1:12" s="107" customFormat="1" x14ac:dyDescent="0.2">
      <c r="A186" s="594" t="s">
        <v>45</v>
      </c>
      <c r="B186" s="595"/>
      <c r="C186" s="595"/>
      <c r="D186" s="958">
        <v>4.1399999999999997</v>
      </c>
      <c r="E186" s="105"/>
      <c r="F186" s="106" t="s">
        <v>100</v>
      </c>
      <c r="G186" s="596">
        <f t="shared" si="2"/>
        <v>0</v>
      </c>
      <c r="H186" s="595"/>
    </row>
    <row r="187" spans="1:12" s="107" customFormat="1" x14ac:dyDescent="0.2">
      <c r="A187" s="594" t="s">
        <v>279</v>
      </c>
      <c r="B187" s="595"/>
      <c r="C187" s="595"/>
      <c r="D187" s="958">
        <v>13.73</v>
      </c>
      <c r="E187" s="105">
        <v>2</v>
      </c>
      <c r="F187" s="106" t="s">
        <v>100</v>
      </c>
      <c r="G187" s="596">
        <f>D187*E187</f>
        <v>27.46</v>
      </c>
      <c r="H187" s="595"/>
    </row>
    <row r="188" spans="1:12" s="107" customFormat="1" x14ac:dyDescent="0.2">
      <c r="A188" s="594" t="s">
        <v>44</v>
      </c>
      <c r="B188" s="595"/>
      <c r="C188" s="595"/>
      <c r="D188" s="958">
        <v>28.9</v>
      </c>
      <c r="E188" s="105"/>
      <c r="F188" s="106" t="s">
        <v>101</v>
      </c>
      <c r="G188" s="596">
        <f>ROUND(D188*E188,2)</f>
        <v>0</v>
      </c>
      <c r="H188" s="595"/>
    </row>
    <row r="189" spans="1:12" s="107" customFormat="1" x14ac:dyDescent="0.2">
      <c r="A189" s="250"/>
      <c r="B189" s="269"/>
      <c r="C189" s="110"/>
      <c r="D189" s="250"/>
      <c r="E189" s="269"/>
      <c r="F189" s="110"/>
      <c r="G189" s="597">
        <f>SUM(G178:G188)</f>
        <v>67.59</v>
      </c>
      <c r="H189" s="598"/>
    </row>
    <row r="190" spans="1:12" s="107" customFormat="1" x14ac:dyDescent="0.2">
      <c r="A190" s="587" t="s">
        <v>102</v>
      </c>
      <c r="B190" s="588"/>
      <c r="C190" s="589"/>
      <c r="D190" s="250"/>
      <c r="E190" s="269"/>
      <c r="F190" s="110"/>
      <c r="G190" s="599">
        <f>'Lote 01 - P1-UTMB ASA SUL '!D281</f>
        <v>1</v>
      </c>
      <c r="H190" s="598"/>
    </row>
    <row r="191" spans="1:12" s="107" customFormat="1" x14ac:dyDescent="0.2">
      <c r="A191" s="584" t="s">
        <v>91</v>
      </c>
      <c r="B191" s="585"/>
      <c r="C191" s="586"/>
      <c r="D191" s="250"/>
      <c r="E191" s="269"/>
      <c r="F191" s="110"/>
      <c r="G191" s="600">
        <f>ROUND(G189*G190,2)</f>
        <v>67.59</v>
      </c>
      <c r="H191" s="598"/>
      <c r="I191" s="270"/>
      <c r="J191" s="270"/>
    </row>
    <row r="192" spans="1:12" s="107" customFormat="1" x14ac:dyDescent="0.2">
      <c r="A192" s="271"/>
      <c r="C192" s="271"/>
      <c r="D192" s="26"/>
      <c r="E192" s="271"/>
      <c r="F192" s="271"/>
      <c r="G192" s="272"/>
      <c r="H192" s="272"/>
      <c r="I192" s="271"/>
      <c r="J192" s="271"/>
      <c r="K192" s="26"/>
      <c r="L192" s="271"/>
    </row>
    <row r="193" spans="1:12" s="107" customFormat="1" hidden="1" x14ac:dyDescent="0.2">
      <c r="A193" s="738" t="s">
        <v>309</v>
      </c>
      <c r="B193" s="739"/>
      <c r="C193" s="739"/>
      <c r="D193" s="740"/>
      <c r="E193" s="740"/>
      <c r="F193" s="740"/>
      <c r="G193" s="740"/>
      <c r="H193" s="598"/>
    </row>
    <row r="194" spans="1:12" s="107" customFormat="1" ht="25.5" hidden="1" x14ac:dyDescent="0.2">
      <c r="A194" s="587" t="s">
        <v>27</v>
      </c>
      <c r="B194" s="588"/>
      <c r="C194" s="589"/>
      <c r="D194" s="243" t="s">
        <v>28</v>
      </c>
      <c r="E194" s="243" t="s">
        <v>99</v>
      </c>
      <c r="F194" s="103" t="s">
        <v>1</v>
      </c>
      <c r="G194" s="587" t="s">
        <v>86</v>
      </c>
      <c r="H194" s="589"/>
    </row>
    <row r="195" spans="1:12" s="107" customFormat="1" hidden="1" x14ac:dyDescent="0.2">
      <c r="A195" s="594" t="s">
        <v>35</v>
      </c>
      <c r="B195" s="595"/>
      <c r="C195" s="595"/>
      <c r="D195" s="104">
        <v>24.87</v>
      </c>
      <c r="E195" s="105">
        <f>3/12</f>
        <v>0.25</v>
      </c>
      <c r="F195" s="106" t="s">
        <v>100</v>
      </c>
      <c r="G195" s="596">
        <f t="shared" ref="G195:G204" si="3">ROUND(D195*E195,2)</f>
        <v>6.22</v>
      </c>
      <c r="H195" s="595"/>
    </row>
    <row r="196" spans="1:12" s="107" customFormat="1" hidden="1" x14ac:dyDescent="0.2">
      <c r="A196" s="594" t="s">
        <v>36</v>
      </c>
      <c r="B196" s="595"/>
      <c r="C196" s="595"/>
      <c r="D196" s="104">
        <v>19.93</v>
      </c>
      <c r="E196" s="105">
        <f>3/12</f>
        <v>0.25</v>
      </c>
      <c r="F196" s="106" t="s">
        <v>100</v>
      </c>
      <c r="G196" s="596">
        <f t="shared" si="3"/>
        <v>4.9800000000000004</v>
      </c>
      <c r="H196" s="595"/>
    </row>
    <row r="197" spans="1:12" s="107" customFormat="1" hidden="1" x14ac:dyDescent="0.2">
      <c r="A197" s="594" t="s">
        <v>37</v>
      </c>
      <c r="B197" s="595"/>
      <c r="C197" s="595"/>
      <c r="D197" s="104">
        <v>31.2</v>
      </c>
      <c r="E197" s="105">
        <f>2/12</f>
        <v>0.16666666666666666</v>
      </c>
      <c r="F197" s="106" t="s">
        <v>101</v>
      </c>
      <c r="G197" s="596">
        <f t="shared" si="3"/>
        <v>5.2</v>
      </c>
      <c r="H197" s="595"/>
    </row>
    <row r="198" spans="1:12" s="107" customFormat="1" hidden="1" x14ac:dyDescent="0.2">
      <c r="A198" s="594" t="s">
        <v>38</v>
      </c>
      <c r="B198" s="595"/>
      <c r="C198" s="595"/>
      <c r="D198" s="104">
        <v>35.9</v>
      </c>
      <c r="E198" s="105"/>
      <c r="F198" s="106" t="s">
        <v>101</v>
      </c>
      <c r="G198" s="596">
        <f t="shared" si="3"/>
        <v>0</v>
      </c>
      <c r="H198" s="595"/>
    </row>
    <row r="199" spans="1:12" s="107" customFormat="1" hidden="1" x14ac:dyDescent="0.2">
      <c r="A199" s="594" t="s">
        <v>39</v>
      </c>
      <c r="B199" s="595"/>
      <c r="C199" s="595"/>
      <c r="D199" s="104">
        <v>6</v>
      </c>
      <c r="E199" s="105">
        <f>3/12</f>
        <v>0.25</v>
      </c>
      <c r="F199" s="106" t="s">
        <v>100</v>
      </c>
      <c r="G199" s="596">
        <f t="shared" si="3"/>
        <v>1.5</v>
      </c>
      <c r="H199" s="595"/>
    </row>
    <row r="200" spans="1:12" s="107" customFormat="1" hidden="1" x14ac:dyDescent="0.2">
      <c r="A200" s="594" t="s">
        <v>40</v>
      </c>
      <c r="B200" s="595"/>
      <c r="C200" s="595"/>
      <c r="D200" s="104">
        <v>10</v>
      </c>
      <c r="E200" s="105">
        <f>2/12</f>
        <v>0.16666666666666666</v>
      </c>
      <c r="F200" s="106" t="s">
        <v>100</v>
      </c>
      <c r="G200" s="596">
        <f t="shared" si="3"/>
        <v>1.67</v>
      </c>
      <c r="H200" s="595"/>
    </row>
    <row r="201" spans="1:12" s="107" customFormat="1" hidden="1" x14ac:dyDescent="0.2">
      <c r="A201" s="594" t="s">
        <v>41</v>
      </c>
      <c r="B201" s="595"/>
      <c r="C201" s="595"/>
      <c r="D201" s="104">
        <v>4.95</v>
      </c>
      <c r="E201" s="105"/>
      <c r="F201" s="106" t="s">
        <v>101</v>
      </c>
      <c r="G201" s="596">
        <f t="shared" si="3"/>
        <v>0</v>
      </c>
      <c r="H201" s="595"/>
    </row>
    <row r="202" spans="1:12" s="107" customFormat="1" hidden="1" x14ac:dyDescent="0.2">
      <c r="A202" s="594" t="s">
        <v>42</v>
      </c>
      <c r="B202" s="595"/>
      <c r="C202" s="595"/>
      <c r="D202" s="104">
        <v>8.5</v>
      </c>
      <c r="E202" s="105"/>
      <c r="F202" s="106" t="s">
        <v>100</v>
      </c>
      <c r="G202" s="596">
        <f t="shared" si="3"/>
        <v>0</v>
      </c>
      <c r="H202" s="595"/>
    </row>
    <row r="203" spans="1:12" s="107" customFormat="1" hidden="1" x14ac:dyDescent="0.2">
      <c r="A203" s="594" t="s">
        <v>45</v>
      </c>
      <c r="B203" s="595"/>
      <c r="C203" s="595"/>
      <c r="D203" s="104">
        <v>3.38</v>
      </c>
      <c r="E203" s="105"/>
      <c r="F203" s="106" t="s">
        <v>100</v>
      </c>
      <c r="G203" s="596">
        <f t="shared" si="3"/>
        <v>0</v>
      </c>
      <c r="H203" s="595"/>
    </row>
    <row r="204" spans="1:12" s="107" customFormat="1" hidden="1" x14ac:dyDescent="0.2">
      <c r="A204" s="594" t="s">
        <v>44</v>
      </c>
      <c r="B204" s="595"/>
      <c r="C204" s="595"/>
      <c r="D204" s="104">
        <v>31.2</v>
      </c>
      <c r="E204" s="105"/>
      <c r="F204" s="106" t="s">
        <v>101</v>
      </c>
      <c r="G204" s="596">
        <f t="shared" si="3"/>
        <v>0</v>
      </c>
      <c r="H204" s="595"/>
    </row>
    <row r="205" spans="1:12" s="107" customFormat="1" hidden="1" x14ac:dyDescent="0.2">
      <c r="A205" s="250"/>
      <c r="B205" s="269"/>
      <c r="C205" s="110"/>
      <c r="D205" s="250"/>
      <c r="E205" s="269"/>
      <c r="F205" s="110"/>
      <c r="G205" s="597">
        <f>SUM(G195:G204)</f>
        <v>19.57</v>
      </c>
      <c r="H205" s="598"/>
    </row>
    <row r="206" spans="1:12" s="107" customFormat="1" hidden="1" x14ac:dyDescent="0.2">
      <c r="A206" s="587" t="s">
        <v>102</v>
      </c>
      <c r="B206" s="588"/>
      <c r="C206" s="589"/>
      <c r="D206" s="250"/>
      <c r="E206" s="269"/>
      <c r="F206" s="110"/>
      <c r="G206" s="599"/>
      <c r="H206" s="598"/>
    </row>
    <row r="207" spans="1:12" s="107" customFormat="1" hidden="1" x14ac:dyDescent="0.2">
      <c r="A207" s="584" t="s">
        <v>91</v>
      </c>
      <c r="B207" s="585"/>
      <c r="C207" s="586"/>
      <c r="D207" s="250"/>
      <c r="E207" s="269"/>
      <c r="F207" s="110"/>
      <c r="G207" s="600">
        <f>ROUND(G205*G206,2)</f>
        <v>0</v>
      </c>
      <c r="H207" s="598"/>
      <c r="I207" s="270"/>
      <c r="J207" s="270"/>
    </row>
    <row r="208" spans="1:12" s="107" customFormat="1" hidden="1" x14ac:dyDescent="0.2">
      <c r="A208" s="271"/>
      <c r="C208" s="271"/>
      <c r="D208" s="26"/>
      <c r="E208" s="271"/>
      <c r="F208" s="271"/>
      <c r="G208" s="272"/>
      <c r="H208" s="272"/>
      <c r="I208" s="271"/>
      <c r="J208" s="271"/>
      <c r="K208" s="26"/>
      <c r="L208" s="271"/>
    </row>
    <row r="209" spans="1:10" s="107" customFormat="1" hidden="1" x14ac:dyDescent="0.2">
      <c r="A209" s="738" t="s">
        <v>310</v>
      </c>
      <c r="B209" s="739"/>
      <c r="C209" s="739"/>
      <c r="D209" s="740"/>
      <c r="E209" s="740"/>
      <c r="F209" s="740"/>
      <c r="G209" s="740"/>
      <c r="H209" s="598"/>
    </row>
    <row r="210" spans="1:10" s="107" customFormat="1" ht="25.5" hidden="1" x14ac:dyDescent="0.2">
      <c r="A210" s="587" t="s">
        <v>27</v>
      </c>
      <c r="B210" s="588"/>
      <c r="C210" s="589"/>
      <c r="D210" s="243" t="s">
        <v>28</v>
      </c>
      <c r="E210" s="243" t="s">
        <v>99</v>
      </c>
      <c r="F210" s="103" t="s">
        <v>1</v>
      </c>
      <c r="G210" s="587" t="s">
        <v>86</v>
      </c>
      <c r="H210" s="589"/>
    </row>
    <row r="211" spans="1:10" s="107" customFormat="1" hidden="1" x14ac:dyDescent="0.2">
      <c r="A211" s="594" t="s">
        <v>35</v>
      </c>
      <c r="B211" s="595"/>
      <c r="C211" s="595"/>
      <c r="D211" s="104">
        <v>24.87</v>
      </c>
      <c r="E211" s="105">
        <f>4/12</f>
        <v>0.33333333333333331</v>
      </c>
      <c r="F211" s="106" t="s">
        <v>100</v>
      </c>
      <c r="G211" s="596">
        <f t="shared" ref="G211:G221" si="4">ROUND(D211*E211,2)</f>
        <v>8.2899999999999991</v>
      </c>
      <c r="H211" s="595"/>
    </row>
    <row r="212" spans="1:10" s="107" customFormat="1" hidden="1" x14ac:dyDescent="0.2">
      <c r="A212" s="594" t="s">
        <v>36</v>
      </c>
      <c r="B212" s="595"/>
      <c r="C212" s="595"/>
      <c r="D212" s="104">
        <v>19.93</v>
      </c>
      <c r="E212" s="105">
        <f>4/12</f>
        <v>0.33333333333333331</v>
      </c>
      <c r="F212" s="106" t="s">
        <v>100</v>
      </c>
      <c r="G212" s="596">
        <f t="shared" si="4"/>
        <v>6.64</v>
      </c>
      <c r="H212" s="595"/>
    </row>
    <row r="213" spans="1:10" s="107" customFormat="1" hidden="1" x14ac:dyDescent="0.2">
      <c r="A213" s="594" t="s">
        <v>37</v>
      </c>
      <c r="B213" s="595"/>
      <c r="C213" s="595"/>
      <c r="D213" s="104">
        <v>31.2</v>
      </c>
      <c r="E213" s="105"/>
      <c r="F213" s="106" t="s">
        <v>101</v>
      </c>
      <c r="G213" s="596">
        <f t="shared" si="4"/>
        <v>0</v>
      </c>
      <c r="H213" s="595"/>
    </row>
    <row r="214" spans="1:10" s="107" customFormat="1" hidden="1" x14ac:dyDescent="0.2">
      <c r="A214" s="594" t="s">
        <v>38</v>
      </c>
      <c r="B214" s="595"/>
      <c r="C214" s="595"/>
      <c r="D214" s="104">
        <v>35.9</v>
      </c>
      <c r="E214" s="105"/>
      <c r="F214" s="106" t="s">
        <v>101</v>
      </c>
      <c r="G214" s="596">
        <f t="shared" si="4"/>
        <v>0</v>
      </c>
      <c r="H214" s="595"/>
    </row>
    <row r="215" spans="1:10" s="107" customFormat="1" hidden="1" x14ac:dyDescent="0.2">
      <c r="A215" s="594" t="s">
        <v>39</v>
      </c>
      <c r="B215" s="595"/>
      <c r="C215" s="595"/>
      <c r="D215" s="104">
        <v>6</v>
      </c>
      <c r="E215" s="105">
        <f>4/12</f>
        <v>0.33333333333333331</v>
      </c>
      <c r="F215" s="106" t="s">
        <v>100</v>
      </c>
      <c r="G215" s="596">
        <f t="shared" si="4"/>
        <v>2</v>
      </c>
      <c r="H215" s="595"/>
    </row>
    <row r="216" spans="1:10" s="107" customFormat="1" hidden="1" x14ac:dyDescent="0.2">
      <c r="A216" s="594" t="s">
        <v>40</v>
      </c>
      <c r="B216" s="595"/>
      <c r="C216" s="595"/>
      <c r="D216" s="104">
        <v>10</v>
      </c>
      <c r="E216" s="105">
        <f>3/12</f>
        <v>0.25</v>
      </c>
      <c r="F216" s="106" t="s">
        <v>100</v>
      </c>
      <c r="G216" s="596">
        <f t="shared" si="4"/>
        <v>2.5</v>
      </c>
      <c r="H216" s="595"/>
    </row>
    <row r="217" spans="1:10" s="107" customFormat="1" hidden="1" x14ac:dyDescent="0.2">
      <c r="A217" s="594" t="s">
        <v>41</v>
      </c>
      <c r="B217" s="595"/>
      <c r="C217" s="595"/>
      <c r="D217" s="104">
        <v>11.4</v>
      </c>
      <c r="E217" s="105">
        <f>6/12</f>
        <v>0.5</v>
      </c>
      <c r="F217" s="106" t="s">
        <v>101</v>
      </c>
      <c r="G217" s="596">
        <f t="shared" si="4"/>
        <v>5.7</v>
      </c>
      <c r="H217" s="595"/>
    </row>
    <row r="218" spans="1:10" s="107" customFormat="1" hidden="1" x14ac:dyDescent="0.2">
      <c r="A218" s="594" t="s">
        <v>42</v>
      </c>
      <c r="B218" s="595"/>
      <c r="C218" s="595"/>
      <c r="D218" s="104">
        <v>8.5</v>
      </c>
      <c r="E218" s="105"/>
      <c r="F218" s="106" t="s">
        <v>100</v>
      </c>
      <c r="G218" s="596">
        <f t="shared" si="4"/>
        <v>0</v>
      </c>
      <c r="H218" s="595"/>
    </row>
    <row r="219" spans="1:10" s="107" customFormat="1" hidden="1" x14ac:dyDescent="0.2">
      <c r="A219" s="594" t="s">
        <v>45</v>
      </c>
      <c r="B219" s="595"/>
      <c r="C219" s="595"/>
      <c r="D219" s="104">
        <v>3.38</v>
      </c>
      <c r="E219" s="105"/>
      <c r="F219" s="106" t="s">
        <v>100</v>
      </c>
      <c r="G219" s="596">
        <f t="shared" si="4"/>
        <v>0</v>
      </c>
      <c r="H219" s="595"/>
    </row>
    <row r="220" spans="1:10" s="107" customFormat="1" hidden="1" x14ac:dyDescent="0.2">
      <c r="A220" s="594" t="s">
        <v>279</v>
      </c>
      <c r="B220" s="595"/>
      <c r="C220" s="595"/>
      <c r="D220" s="104">
        <v>9.91</v>
      </c>
      <c r="E220" s="105">
        <v>2</v>
      </c>
      <c r="F220" s="106" t="s">
        <v>100</v>
      </c>
      <c r="G220" s="596">
        <f>D220*E220</f>
        <v>19.82</v>
      </c>
      <c r="H220" s="595"/>
    </row>
    <row r="221" spans="1:10" s="107" customFormat="1" hidden="1" x14ac:dyDescent="0.2">
      <c r="A221" s="594" t="s">
        <v>44</v>
      </c>
      <c r="B221" s="595"/>
      <c r="C221" s="595"/>
      <c r="D221" s="104">
        <v>31.2</v>
      </c>
      <c r="E221" s="105">
        <f>4/12</f>
        <v>0.33333333333333331</v>
      </c>
      <c r="F221" s="106" t="s">
        <v>101</v>
      </c>
      <c r="G221" s="596">
        <f t="shared" si="4"/>
        <v>10.4</v>
      </c>
      <c r="H221" s="595"/>
    </row>
    <row r="222" spans="1:10" s="107" customFormat="1" hidden="1" x14ac:dyDescent="0.2">
      <c r="A222" s="250"/>
      <c r="B222" s="269"/>
      <c r="C222" s="110"/>
      <c r="D222" s="250"/>
      <c r="E222" s="269"/>
      <c r="F222" s="110"/>
      <c r="G222" s="597">
        <f>SUM(G211:G221)</f>
        <v>55.35</v>
      </c>
      <c r="H222" s="598"/>
    </row>
    <row r="223" spans="1:10" s="107" customFormat="1" hidden="1" x14ac:dyDescent="0.2">
      <c r="A223" s="587" t="s">
        <v>102</v>
      </c>
      <c r="B223" s="588"/>
      <c r="C223" s="589"/>
      <c r="D223" s="250"/>
      <c r="E223" s="269"/>
      <c r="F223" s="110"/>
      <c r="G223" s="599"/>
      <c r="H223" s="598"/>
    </row>
    <row r="224" spans="1:10" s="107" customFormat="1" hidden="1" x14ac:dyDescent="0.2">
      <c r="A224" s="584" t="s">
        <v>91</v>
      </c>
      <c r="B224" s="585"/>
      <c r="C224" s="586"/>
      <c r="D224" s="250"/>
      <c r="E224" s="269"/>
      <c r="F224" s="110"/>
      <c r="G224" s="600">
        <f>ROUND(G222*G223,2)</f>
        <v>0</v>
      </c>
      <c r="H224" s="598"/>
      <c r="I224" s="270"/>
      <c r="J224" s="270"/>
    </row>
    <row r="225" spans="1:12" s="107" customFormat="1" hidden="1" x14ac:dyDescent="0.2">
      <c r="A225" s="271"/>
      <c r="C225" s="271"/>
      <c r="D225" s="26"/>
      <c r="E225" s="271"/>
      <c r="F225" s="271"/>
      <c r="G225" s="272"/>
      <c r="H225" s="272"/>
      <c r="I225" s="271"/>
      <c r="J225" s="271"/>
      <c r="K225" s="26"/>
      <c r="L225" s="271"/>
    </row>
    <row r="226" spans="1:12" s="107" customFormat="1" hidden="1" x14ac:dyDescent="0.2">
      <c r="A226" s="738" t="s">
        <v>311</v>
      </c>
      <c r="B226" s="739"/>
      <c r="C226" s="739"/>
      <c r="D226" s="740"/>
      <c r="E226" s="740"/>
      <c r="F226" s="740"/>
      <c r="G226" s="740"/>
      <c r="H226" s="598"/>
    </row>
    <row r="227" spans="1:12" s="107" customFormat="1" ht="25.5" hidden="1" x14ac:dyDescent="0.2">
      <c r="A227" s="587" t="s">
        <v>27</v>
      </c>
      <c r="B227" s="588"/>
      <c r="C227" s="589"/>
      <c r="D227" s="243" t="s">
        <v>28</v>
      </c>
      <c r="E227" s="243" t="s">
        <v>99</v>
      </c>
      <c r="F227" s="103" t="s">
        <v>1</v>
      </c>
      <c r="G227" s="587" t="s">
        <v>86</v>
      </c>
      <c r="H227" s="589"/>
    </row>
    <row r="228" spans="1:12" s="107" customFormat="1" hidden="1" x14ac:dyDescent="0.2">
      <c r="A228" s="594" t="s">
        <v>35</v>
      </c>
      <c r="B228" s="595"/>
      <c r="C228" s="595"/>
      <c r="D228" s="104">
        <v>24.87</v>
      </c>
      <c r="E228" s="105">
        <f>4/12</f>
        <v>0.33333333333333331</v>
      </c>
      <c r="F228" s="106" t="s">
        <v>100</v>
      </c>
      <c r="G228" s="596">
        <f t="shared" ref="G228:G237" si="5">ROUND(D228*E228,2)</f>
        <v>8.2899999999999991</v>
      </c>
      <c r="H228" s="595"/>
    </row>
    <row r="229" spans="1:12" s="107" customFormat="1" hidden="1" x14ac:dyDescent="0.2">
      <c r="A229" s="594" t="s">
        <v>36</v>
      </c>
      <c r="B229" s="595"/>
      <c r="C229" s="595"/>
      <c r="D229" s="104">
        <v>19.93</v>
      </c>
      <c r="E229" s="105">
        <f>4/12</f>
        <v>0.33333333333333331</v>
      </c>
      <c r="F229" s="106" t="s">
        <v>100</v>
      </c>
      <c r="G229" s="596">
        <f t="shared" si="5"/>
        <v>6.64</v>
      </c>
      <c r="H229" s="595"/>
    </row>
    <row r="230" spans="1:12" s="107" customFormat="1" hidden="1" x14ac:dyDescent="0.2">
      <c r="A230" s="594" t="s">
        <v>37</v>
      </c>
      <c r="B230" s="595"/>
      <c r="C230" s="595"/>
      <c r="D230" s="104">
        <v>31.2</v>
      </c>
      <c r="E230" s="105"/>
      <c r="F230" s="106" t="s">
        <v>101</v>
      </c>
      <c r="G230" s="596">
        <f t="shared" si="5"/>
        <v>0</v>
      </c>
      <c r="H230" s="595"/>
    </row>
    <row r="231" spans="1:12" s="107" customFormat="1" hidden="1" x14ac:dyDescent="0.2">
      <c r="A231" s="594" t="s">
        <v>38</v>
      </c>
      <c r="B231" s="595"/>
      <c r="C231" s="595"/>
      <c r="D231" s="104">
        <v>35.9</v>
      </c>
      <c r="E231" s="105"/>
      <c r="F231" s="106" t="s">
        <v>101</v>
      </c>
      <c r="G231" s="596">
        <f t="shared" si="5"/>
        <v>0</v>
      </c>
      <c r="H231" s="595"/>
    </row>
    <row r="232" spans="1:12" s="107" customFormat="1" hidden="1" x14ac:dyDescent="0.2">
      <c r="A232" s="594" t="s">
        <v>39</v>
      </c>
      <c r="B232" s="595"/>
      <c r="C232" s="595"/>
      <c r="D232" s="104">
        <v>6</v>
      </c>
      <c r="E232" s="105">
        <f>4/12</f>
        <v>0.33333333333333331</v>
      </c>
      <c r="F232" s="106" t="s">
        <v>100</v>
      </c>
      <c r="G232" s="596">
        <f t="shared" si="5"/>
        <v>2</v>
      </c>
      <c r="H232" s="595"/>
    </row>
    <row r="233" spans="1:12" s="107" customFormat="1" hidden="1" x14ac:dyDescent="0.2">
      <c r="A233" s="594" t="s">
        <v>40</v>
      </c>
      <c r="B233" s="595"/>
      <c r="C233" s="595"/>
      <c r="D233" s="104">
        <v>10</v>
      </c>
      <c r="E233" s="105">
        <f>3/12</f>
        <v>0.25</v>
      </c>
      <c r="F233" s="106" t="s">
        <v>100</v>
      </c>
      <c r="G233" s="596">
        <f t="shared" si="5"/>
        <v>2.5</v>
      </c>
      <c r="H233" s="595"/>
    </row>
    <row r="234" spans="1:12" s="107" customFormat="1" hidden="1" x14ac:dyDescent="0.2">
      <c r="A234" s="594" t="s">
        <v>41</v>
      </c>
      <c r="B234" s="595"/>
      <c r="C234" s="595"/>
      <c r="D234" s="104">
        <v>11.4</v>
      </c>
      <c r="E234" s="105">
        <f>6/12</f>
        <v>0.5</v>
      </c>
      <c r="F234" s="106" t="s">
        <v>101</v>
      </c>
      <c r="G234" s="596">
        <f t="shared" si="5"/>
        <v>5.7</v>
      </c>
      <c r="H234" s="595"/>
    </row>
    <row r="235" spans="1:12" s="107" customFormat="1" hidden="1" x14ac:dyDescent="0.2">
      <c r="A235" s="594" t="s">
        <v>42</v>
      </c>
      <c r="B235" s="595"/>
      <c r="C235" s="595"/>
      <c r="D235" s="104">
        <v>8.5</v>
      </c>
      <c r="E235" s="105"/>
      <c r="F235" s="106" t="s">
        <v>100</v>
      </c>
      <c r="G235" s="596">
        <f t="shared" si="5"/>
        <v>0</v>
      </c>
      <c r="H235" s="595"/>
    </row>
    <row r="236" spans="1:12" s="107" customFormat="1" hidden="1" x14ac:dyDescent="0.2">
      <c r="A236" s="594" t="s">
        <v>45</v>
      </c>
      <c r="B236" s="595"/>
      <c r="C236" s="595"/>
      <c r="D236" s="104">
        <v>3.38</v>
      </c>
      <c r="E236" s="105"/>
      <c r="F236" s="106" t="s">
        <v>100</v>
      </c>
      <c r="G236" s="596">
        <f t="shared" si="5"/>
        <v>0</v>
      </c>
      <c r="H236" s="595"/>
    </row>
    <row r="237" spans="1:12" s="107" customFormat="1" hidden="1" x14ac:dyDescent="0.2">
      <c r="A237" s="594" t="s">
        <v>44</v>
      </c>
      <c r="B237" s="595"/>
      <c r="C237" s="595"/>
      <c r="D237" s="104">
        <v>31.2</v>
      </c>
      <c r="E237" s="105">
        <f>4/12</f>
        <v>0.33333333333333331</v>
      </c>
      <c r="F237" s="106" t="s">
        <v>101</v>
      </c>
      <c r="G237" s="596">
        <f t="shared" si="5"/>
        <v>10.4</v>
      </c>
      <c r="H237" s="595"/>
    </row>
    <row r="238" spans="1:12" s="107" customFormat="1" hidden="1" x14ac:dyDescent="0.2">
      <c r="A238" s="250"/>
      <c r="B238" s="269"/>
      <c r="C238" s="110"/>
      <c r="D238" s="250"/>
      <c r="E238" s="269"/>
      <c r="F238" s="110"/>
      <c r="G238" s="597">
        <f>SUM(G228:G237)</f>
        <v>35.53</v>
      </c>
      <c r="H238" s="598"/>
    </row>
    <row r="239" spans="1:12" s="107" customFormat="1" hidden="1" x14ac:dyDescent="0.2">
      <c r="A239" s="587" t="s">
        <v>102</v>
      </c>
      <c r="B239" s="588"/>
      <c r="C239" s="589"/>
      <c r="D239" s="250"/>
      <c r="E239" s="269"/>
      <c r="F239" s="110"/>
      <c r="G239" s="599"/>
      <c r="H239" s="598"/>
    </row>
    <row r="240" spans="1:12" s="107" customFormat="1" hidden="1" x14ac:dyDescent="0.2">
      <c r="A240" s="584" t="s">
        <v>91</v>
      </c>
      <c r="B240" s="585"/>
      <c r="C240" s="586"/>
      <c r="D240" s="250"/>
      <c r="E240" s="269"/>
      <c r="F240" s="110"/>
      <c r="G240" s="600">
        <f>ROUND(G238*G239,2)</f>
        <v>0</v>
      </c>
      <c r="H240" s="598"/>
      <c r="I240" s="270"/>
      <c r="J240" s="270"/>
    </row>
    <row r="241" spans="1:12" s="107" customFormat="1" hidden="1" x14ac:dyDescent="0.2">
      <c r="A241" s="271"/>
      <c r="C241" s="271"/>
      <c r="D241" s="26"/>
      <c r="E241" s="271"/>
      <c r="F241" s="271"/>
      <c r="G241" s="272"/>
      <c r="H241" s="272"/>
      <c r="I241" s="271"/>
      <c r="J241" s="271"/>
      <c r="K241" s="26"/>
      <c r="L241" s="271"/>
    </row>
    <row r="242" spans="1:12" s="107" customFormat="1" hidden="1" x14ac:dyDescent="0.2">
      <c r="A242" s="738" t="s">
        <v>312</v>
      </c>
      <c r="B242" s="739"/>
      <c r="C242" s="739"/>
      <c r="D242" s="740"/>
      <c r="E242" s="740"/>
      <c r="F242" s="740"/>
      <c r="G242" s="740"/>
      <c r="H242" s="598"/>
    </row>
    <row r="243" spans="1:12" s="107" customFormat="1" ht="25.5" hidden="1" x14ac:dyDescent="0.2">
      <c r="A243" s="587" t="s">
        <v>27</v>
      </c>
      <c r="B243" s="588"/>
      <c r="C243" s="589"/>
      <c r="D243" s="243" t="s">
        <v>28</v>
      </c>
      <c r="E243" s="243" t="s">
        <v>99</v>
      </c>
      <c r="F243" s="103" t="s">
        <v>1</v>
      </c>
      <c r="G243" s="587" t="s">
        <v>86</v>
      </c>
      <c r="H243" s="589"/>
    </row>
    <row r="244" spans="1:12" s="107" customFormat="1" hidden="1" x14ac:dyDescent="0.2">
      <c r="A244" s="594" t="s">
        <v>35</v>
      </c>
      <c r="B244" s="595"/>
      <c r="C244" s="595"/>
      <c r="D244" s="104">
        <v>24.87</v>
      </c>
      <c r="E244" s="105">
        <f>4/12</f>
        <v>0.33333333333333331</v>
      </c>
      <c r="F244" s="106" t="s">
        <v>100</v>
      </c>
      <c r="G244" s="596">
        <f t="shared" ref="G244:G254" si="6">ROUND(D244*E244,2)</f>
        <v>8.2899999999999991</v>
      </c>
      <c r="H244" s="595"/>
    </row>
    <row r="245" spans="1:12" s="107" customFormat="1" hidden="1" x14ac:dyDescent="0.2">
      <c r="A245" s="594" t="s">
        <v>36</v>
      </c>
      <c r="B245" s="595"/>
      <c r="C245" s="595"/>
      <c r="D245" s="104">
        <v>19.93</v>
      </c>
      <c r="E245" s="105">
        <f>4/12</f>
        <v>0.33333333333333331</v>
      </c>
      <c r="F245" s="106" t="s">
        <v>100</v>
      </c>
      <c r="G245" s="596">
        <f t="shared" si="6"/>
        <v>6.64</v>
      </c>
      <c r="H245" s="595"/>
    </row>
    <row r="246" spans="1:12" s="107" customFormat="1" hidden="1" x14ac:dyDescent="0.2">
      <c r="A246" s="594" t="s">
        <v>37</v>
      </c>
      <c r="B246" s="595"/>
      <c r="C246" s="595"/>
      <c r="D246" s="104">
        <v>31.2</v>
      </c>
      <c r="E246" s="105"/>
      <c r="F246" s="106" t="s">
        <v>101</v>
      </c>
      <c r="G246" s="596">
        <f t="shared" si="6"/>
        <v>0</v>
      </c>
      <c r="H246" s="595"/>
    </row>
    <row r="247" spans="1:12" s="107" customFormat="1" hidden="1" x14ac:dyDescent="0.2">
      <c r="A247" s="594" t="s">
        <v>38</v>
      </c>
      <c r="B247" s="595"/>
      <c r="C247" s="595"/>
      <c r="D247" s="104">
        <v>35.9</v>
      </c>
      <c r="E247" s="105"/>
      <c r="F247" s="106" t="s">
        <v>101</v>
      </c>
      <c r="G247" s="596">
        <f t="shared" si="6"/>
        <v>0</v>
      </c>
      <c r="H247" s="595"/>
    </row>
    <row r="248" spans="1:12" s="107" customFormat="1" hidden="1" x14ac:dyDescent="0.2">
      <c r="A248" s="594" t="s">
        <v>39</v>
      </c>
      <c r="B248" s="595"/>
      <c r="C248" s="595"/>
      <c r="D248" s="104">
        <v>6</v>
      </c>
      <c r="E248" s="105">
        <f>4/12</f>
        <v>0.33333333333333331</v>
      </c>
      <c r="F248" s="106" t="s">
        <v>100</v>
      </c>
      <c r="G248" s="596">
        <f t="shared" si="6"/>
        <v>2</v>
      </c>
      <c r="H248" s="595"/>
    </row>
    <row r="249" spans="1:12" s="107" customFormat="1" hidden="1" x14ac:dyDescent="0.2">
      <c r="A249" s="594" t="s">
        <v>40</v>
      </c>
      <c r="B249" s="595"/>
      <c r="C249" s="595"/>
      <c r="D249" s="104">
        <v>10</v>
      </c>
      <c r="E249" s="105">
        <f>3/12</f>
        <v>0.25</v>
      </c>
      <c r="F249" s="106" t="s">
        <v>100</v>
      </c>
      <c r="G249" s="596">
        <f t="shared" si="6"/>
        <v>2.5</v>
      </c>
      <c r="H249" s="595"/>
    </row>
    <row r="250" spans="1:12" s="107" customFormat="1" hidden="1" x14ac:dyDescent="0.2">
      <c r="A250" s="594" t="s">
        <v>41</v>
      </c>
      <c r="B250" s="595"/>
      <c r="C250" s="595"/>
      <c r="D250" s="104">
        <v>11.4</v>
      </c>
      <c r="E250" s="105">
        <f>6/12</f>
        <v>0.5</v>
      </c>
      <c r="F250" s="106" t="s">
        <v>101</v>
      </c>
      <c r="G250" s="596">
        <f t="shared" si="6"/>
        <v>5.7</v>
      </c>
      <c r="H250" s="595"/>
    </row>
    <row r="251" spans="1:12" s="107" customFormat="1" hidden="1" x14ac:dyDescent="0.2">
      <c r="A251" s="594" t="s">
        <v>42</v>
      </c>
      <c r="B251" s="595"/>
      <c r="C251" s="595"/>
      <c r="D251" s="104">
        <v>8.5</v>
      </c>
      <c r="E251" s="105"/>
      <c r="F251" s="106" t="s">
        <v>100</v>
      </c>
      <c r="G251" s="596">
        <f t="shared" si="6"/>
        <v>0</v>
      </c>
      <c r="H251" s="595"/>
    </row>
    <row r="252" spans="1:12" s="107" customFormat="1" hidden="1" x14ac:dyDescent="0.2">
      <c r="A252" s="594" t="s">
        <v>45</v>
      </c>
      <c r="B252" s="595"/>
      <c r="C252" s="595"/>
      <c r="D252" s="104">
        <v>3.38</v>
      </c>
      <c r="E252" s="105"/>
      <c r="F252" s="106" t="s">
        <v>100</v>
      </c>
      <c r="G252" s="596">
        <f t="shared" si="6"/>
        <v>0</v>
      </c>
      <c r="H252" s="595"/>
    </row>
    <row r="253" spans="1:12" s="107" customFormat="1" hidden="1" x14ac:dyDescent="0.2">
      <c r="A253" s="594" t="s">
        <v>279</v>
      </c>
      <c r="B253" s="595"/>
      <c r="C253" s="595"/>
      <c r="D253" s="104">
        <v>9.91</v>
      </c>
      <c r="E253" s="105">
        <v>2</v>
      </c>
      <c r="F253" s="106" t="s">
        <v>100</v>
      </c>
      <c r="G253" s="596">
        <f>D253*E253</f>
        <v>19.82</v>
      </c>
      <c r="H253" s="595"/>
    </row>
    <row r="254" spans="1:12" s="107" customFormat="1" hidden="1" x14ac:dyDescent="0.2">
      <c r="A254" s="594" t="s">
        <v>44</v>
      </c>
      <c r="B254" s="595"/>
      <c r="C254" s="595"/>
      <c r="D254" s="104">
        <v>31.2</v>
      </c>
      <c r="E254" s="105">
        <f>4/12</f>
        <v>0.33333333333333331</v>
      </c>
      <c r="F254" s="106" t="s">
        <v>101</v>
      </c>
      <c r="G254" s="596">
        <f t="shared" si="6"/>
        <v>10.4</v>
      </c>
      <c r="H254" s="595"/>
    </row>
    <row r="255" spans="1:12" s="107" customFormat="1" hidden="1" x14ac:dyDescent="0.2">
      <c r="A255" s="250"/>
      <c r="B255" s="269"/>
      <c r="C255" s="110"/>
      <c r="D255" s="250"/>
      <c r="E255" s="269"/>
      <c r="F255" s="110"/>
      <c r="G255" s="597">
        <f>SUM(G244:G254)</f>
        <v>55.35</v>
      </c>
      <c r="H255" s="598"/>
    </row>
    <row r="256" spans="1:12" s="107" customFormat="1" hidden="1" x14ac:dyDescent="0.2">
      <c r="A256" s="587" t="s">
        <v>102</v>
      </c>
      <c r="B256" s="588"/>
      <c r="C256" s="589"/>
      <c r="D256" s="250"/>
      <c r="E256" s="269"/>
      <c r="F256" s="110"/>
      <c r="G256" s="599"/>
      <c r="H256" s="598"/>
    </row>
    <row r="257" spans="1:12" s="107" customFormat="1" hidden="1" x14ac:dyDescent="0.2">
      <c r="A257" s="584" t="s">
        <v>91</v>
      </c>
      <c r="B257" s="585"/>
      <c r="C257" s="586"/>
      <c r="D257" s="250"/>
      <c r="E257" s="269"/>
      <c r="F257" s="110"/>
      <c r="G257" s="600">
        <f>ROUND(G255*G256,2)</f>
        <v>0</v>
      </c>
      <c r="H257" s="598"/>
      <c r="I257" s="270"/>
      <c r="J257" s="270"/>
      <c r="L257" s="270"/>
    </row>
    <row r="258" spans="1:12" s="107" customFormat="1" hidden="1" x14ac:dyDescent="0.2">
      <c r="A258" s="271"/>
      <c r="C258" s="271"/>
      <c r="D258" s="26"/>
      <c r="E258" s="271"/>
      <c r="F258" s="271"/>
      <c r="G258" s="272"/>
      <c r="H258" s="272"/>
      <c r="I258" s="271"/>
      <c r="J258" s="271"/>
      <c r="K258" s="26"/>
      <c r="L258" s="271"/>
    </row>
    <row r="259" spans="1:12" s="107" customFormat="1" hidden="1" x14ac:dyDescent="0.2">
      <c r="A259" s="738" t="s">
        <v>313</v>
      </c>
      <c r="B259" s="739"/>
      <c r="C259" s="739"/>
      <c r="D259" s="740"/>
      <c r="E259" s="740"/>
      <c r="F259" s="740"/>
      <c r="G259" s="740"/>
      <c r="H259" s="598"/>
    </row>
    <row r="260" spans="1:12" s="107" customFormat="1" ht="25.5" hidden="1" x14ac:dyDescent="0.2">
      <c r="A260" s="587" t="s">
        <v>27</v>
      </c>
      <c r="B260" s="588"/>
      <c r="C260" s="589"/>
      <c r="D260" s="243" t="s">
        <v>28</v>
      </c>
      <c r="E260" s="243" t="s">
        <v>99</v>
      </c>
      <c r="F260" s="103" t="s">
        <v>1</v>
      </c>
      <c r="G260" s="587" t="s">
        <v>86</v>
      </c>
      <c r="H260" s="589"/>
    </row>
    <row r="261" spans="1:12" s="107" customFormat="1" hidden="1" x14ac:dyDescent="0.2">
      <c r="A261" s="594" t="s">
        <v>35</v>
      </c>
      <c r="B261" s="595"/>
      <c r="C261" s="595"/>
      <c r="D261" s="104">
        <v>24.87</v>
      </c>
      <c r="E261" s="105">
        <f>4/12</f>
        <v>0.33333333333333331</v>
      </c>
      <c r="F261" s="106" t="s">
        <v>100</v>
      </c>
      <c r="G261" s="596">
        <f t="shared" ref="G261:G270" si="7">ROUND(D261*E261,2)</f>
        <v>8.2899999999999991</v>
      </c>
      <c r="H261" s="595"/>
    </row>
    <row r="262" spans="1:12" s="107" customFormat="1" hidden="1" x14ac:dyDescent="0.2">
      <c r="A262" s="594" t="s">
        <v>36</v>
      </c>
      <c r="B262" s="595"/>
      <c r="C262" s="595"/>
      <c r="D262" s="104">
        <v>19.93</v>
      </c>
      <c r="E262" s="105">
        <f>4/12</f>
        <v>0.33333333333333331</v>
      </c>
      <c r="F262" s="106" t="s">
        <v>100</v>
      </c>
      <c r="G262" s="596">
        <f t="shared" si="7"/>
        <v>6.64</v>
      </c>
      <c r="H262" s="595"/>
    </row>
    <row r="263" spans="1:12" s="107" customFormat="1" hidden="1" x14ac:dyDescent="0.2">
      <c r="A263" s="594" t="s">
        <v>37</v>
      </c>
      <c r="B263" s="595"/>
      <c r="C263" s="595"/>
      <c r="D263" s="104">
        <v>31.2</v>
      </c>
      <c r="E263" s="105"/>
      <c r="F263" s="106" t="s">
        <v>101</v>
      </c>
      <c r="G263" s="596">
        <f t="shared" si="7"/>
        <v>0</v>
      </c>
      <c r="H263" s="595"/>
    </row>
    <row r="264" spans="1:12" s="107" customFormat="1" hidden="1" x14ac:dyDescent="0.2">
      <c r="A264" s="594" t="s">
        <v>38</v>
      </c>
      <c r="B264" s="595"/>
      <c r="C264" s="595"/>
      <c r="D264" s="104">
        <v>35.9</v>
      </c>
      <c r="E264" s="105"/>
      <c r="F264" s="106" t="s">
        <v>101</v>
      </c>
      <c r="G264" s="596">
        <f t="shared" si="7"/>
        <v>0</v>
      </c>
      <c r="H264" s="595"/>
    </row>
    <row r="265" spans="1:12" s="107" customFormat="1" hidden="1" x14ac:dyDescent="0.2">
      <c r="A265" s="594" t="s">
        <v>39</v>
      </c>
      <c r="B265" s="595"/>
      <c r="C265" s="595"/>
      <c r="D265" s="104">
        <v>6</v>
      </c>
      <c r="E265" s="105">
        <f>4/12</f>
        <v>0.33333333333333331</v>
      </c>
      <c r="F265" s="106" t="s">
        <v>100</v>
      </c>
      <c r="G265" s="596">
        <f t="shared" si="7"/>
        <v>2</v>
      </c>
      <c r="H265" s="595"/>
    </row>
    <row r="266" spans="1:12" s="107" customFormat="1" hidden="1" x14ac:dyDescent="0.2">
      <c r="A266" s="594" t="s">
        <v>40</v>
      </c>
      <c r="B266" s="595"/>
      <c r="C266" s="595"/>
      <c r="D266" s="104">
        <v>10</v>
      </c>
      <c r="E266" s="105">
        <f>3/12</f>
        <v>0.25</v>
      </c>
      <c r="F266" s="106" t="s">
        <v>100</v>
      </c>
      <c r="G266" s="596">
        <f t="shared" si="7"/>
        <v>2.5</v>
      </c>
      <c r="H266" s="595"/>
    </row>
    <row r="267" spans="1:12" s="107" customFormat="1" hidden="1" x14ac:dyDescent="0.2">
      <c r="A267" s="594" t="s">
        <v>41</v>
      </c>
      <c r="B267" s="595"/>
      <c r="C267" s="595"/>
      <c r="D267" s="104">
        <v>11.4</v>
      </c>
      <c r="E267" s="105">
        <f>6/12</f>
        <v>0.5</v>
      </c>
      <c r="F267" s="106" t="s">
        <v>101</v>
      </c>
      <c r="G267" s="596">
        <f t="shared" si="7"/>
        <v>5.7</v>
      </c>
      <c r="H267" s="595"/>
    </row>
    <row r="268" spans="1:12" s="107" customFormat="1" hidden="1" x14ac:dyDescent="0.2">
      <c r="A268" s="594" t="s">
        <v>42</v>
      </c>
      <c r="B268" s="595"/>
      <c r="C268" s="595"/>
      <c r="D268" s="104">
        <v>8.5</v>
      </c>
      <c r="E268" s="105"/>
      <c r="F268" s="106" t="s">
        <v>100</v>
      </c>
      <c r="G268" s="596">
        <f t="shared" si="7"/>
        <v>0</v>
      </c>
      <c r="H268" s="595"/>
    </row>
    <row r="269" spans="1:12" s="107" customFormat="1" hidden="1" x14ac:dyDescent="0.2">
      <c r="A269" s="594" t="s">
        <v>45</v>
      </c>
      <c r="B269" s="595"/>
      <c r="C269" s="595"/>
      <c r="D269" s="104">
        <v>3.38</v>
      </c>
      <c r="E269" s="105"/>
      <c r="F269" s="106" t="s">
        <v>100</v>
      </c>
      <c r="G269" s="596">
        <f t="shared" si="7"/>
        <v>0</v>
      </c>
      <c r="H269" s="595"/>
    </row>
    <row r="270" spans="1:12" s="107" customFormat="1" hidden="1" x14ac:dyDescent="0.2">
      <c r="A270" s="594" t="s">
        <v>44</v>
      </c>
      <c r="B270" s="595"/>
      <c r="C270" s="595"/>
      <c r="D270" s="104">
        <v>31.2</v>
      </c>
      <c r="E270" s="105">
        <f>4/12</f>
        <v>0.33333333333333331</v>
      </c>
      <c r="F270" s="106" t="s">
        <v>101</v>
      </c>
      <c r="G270" s="596">
        <f t="shared" si="7"/>
        <v>10.4</v>
      </c>
      <c r="H270" s="595"/>
    </row>
    <row r="271" spans="1:12" s="107" customFormat="1" hidden="1" x14ac:dyDescent="0.2">
      <c r="A271" s="250"/>
      <c r="B271" s="269"/>
      <c r="C271" s="110"/>
      <c r="D271" s="250"/>
      <c r="E271" s="269"/>
      <c r="F271" s="110"/>
      <c r="G271" s="597">
        <f>SUM(G261:G270)</f>
        <v>35.53</v>
      </c>
      <c r="H271" s="598"/>
    </row>
    <row r="272" spans="1:12" s="107" customFormat="1" hidden="1" x14ac:dyDescent="0.2">
      <c r="A272" s="587" t="s">
        <v>102</v>
      </c>
      <c r="B272" s="588"/>
      <c r="C272" s="589"/>
      <c r="D272" s="250"/>
      <c r="E272" s="269"/>
      <c r="F272" s="110"/>
      <c r="G272" s="599"/>
      <c r="H272" s="598"/>
    </row>
    <row r="273" spans="1:12" s="107" customFormat="1" hidden="1" x14ac:dyDescent="0.2">
      <c r="A273" s="584" t="s">
        <v>91</v>
      </c>
      <c r="B273" s="585"/>
      <c r="C273" s="586"/>
      <c r="D273" s="250"/>
      <c r="E273" s="269"/>
      <c r="F273" s="110"/>
      <c r="G273" s="600">
        <f>ROUND(G271*G272,2)</f>
        <v>0</v>
      </c>
      <c r="H273" s="598"/>
      <c r="I273" s="270"/>
      <c r="J273" s="270"/>
    </row>
    <row r="274" spans="1:12" s="107" customFormat="1" hidden="1" x14ac:dyDescent="0.2">
      <c r="A274" s="271"/>
      <c r="C274" s="271"/>
      <c r="D274" s="26"/>
      <c r="E274" s="271"/>
      <c r="F274" s="271"/>
      <c r="G274" s="272"/>
      <c r="H274" s="272"/>
      <c r="I274" s="271"/>
      <c r="J274" s="271"/>
      <c r="K274" s="26"/>
      <c r="L274" s="271"/>
    </row>
    <row r="275" spans="1:12" s="107" customFormat="1" hidden="1" x14ac:dyDescent="0.2">
      <c r="A275" s="738" t="s">
        <v>314</v>
      </c>
      <c r="B275" s="739"/>
      <c r="C275" s="739"/>
      <c r="D275" s="740"/>
      <c r="E275" s="740"/>
      <c r="F275" s="740"/>
      <c r="G275" s="740"/>
      <c r="H275" s="598"/>
    </row>
    <row r="276" spans="1:12" s="107" customFormat="1" ht="25.5" hidden="1" x14ac:dyDescent="0.2">
      <c r="A276" s="587" t="s">
        <v>27</v>
      </c>
      <c r="B276" s="588"/>
      <c r="C276" s="589"/>
      <c r="D276" s="243" t="s">
        <v>28</v>
      </c>
      <c r="E276" s="243" t="s">
        <v>99</v>
      </c>
      <c r="F276" s="103" t="s">
        <v>1</v>
      </c>
      <c r="G276" s="587" t="s">
        <v>86</v>
      </c>
      <c r="H276" s="589"/>
    </row>
    <row r="277" spans="1:12" s="107" customFormat="1" hidden="1" x14ac:dyDescent="0.2">
      <c r="A277" s="594" t="s">
        <v>35</v>
      </c>
      <c r="B277" s="595"/>
      <c r="C277" s="595"/>
      <c r="D277" s="104">
        <v>24.87</v>
      </c>
      <c r="E277" s="105">
        <f>4/12</f>
        <v>0.33333333333333331</v>
      </c>
      <c r="F277" s="106" t="s">
        <v>100</v>
      </c>
      <c r="G277" s="596">
        <f t="shared" ref="G277:G287" si="8">ROUND(D277*E277,2)</f>
        <v>8.2899999999999991</v>
      </c>
      <c r="H277" s="595"/>
    </row>
    <row r="278" spans="1:12" s="107" customFormat="1" hidden="1" x14ac:dyDescent="0.2">
      <c r="A278" s="594" t="s">
        <v>36</v>
      </c>
      <c r="B278" s="595"/>
      <c r="C278" s="595"/>
      <c r="D278" s="104">
        <v>19.93</v>
      </c>
      <c r="E278" s="105">
        <f>4/12</f>
        <v>0.33333333333333331</v>
      </c>
      <c r="F278" s="106" t="s">
        <v>100</v>
      </c>
      <c r="G278" s="596">
        <f t="shared" si="8"/>
        <v>6.64</v>
      </c>
      <c r="H278" s="595"/>
    </row>
    <row r="279" spans="1:12" s="107" customFormat="1" hidden="1" x14ac:dyDescent="0.2">
      <c r="A279" s="594" t="s">
        <v>37</v>
      </c>
      <c r="B279" s="595"/>
      <c r="C279" s="595"/>
      <c r="D279" s="104">
        <v>31.2</v>
      </c>
      <c r="E279" s="105"/>
      <c r="F279" s="106" t="s">
        <v>101</v>
      </c>
      <c r="G279" s="596">
        <f t="shared" si="8"/>
        <v>0</v>
      </c>
      <c r="H279" s="595"/>
    </row>
    <row r="280" spans="1:12" s="107" customFormat="1" hidden="1" x14ac:dyDescent="0.2">
      <c r="A280" s="594" t="s">
        <v>38</v>
      </c>
      <c r="B280" s="595"/>
      <c r="C280" s="595"/>
      <c r="D280" s="104">
        <v>35.9</v>
      </c>
      <c r="E280" s="105"/>
      <c r="F280" s="106" t="s">
        <v>101</v>
      </c>
      <c r="G280" s="596">
        <f t="shared" si="8"/>
        <v>0</v>
      </c>
      <c r="H280" s="595"/>
    </row>
    <row r="281" spans="1:12" s="107" customFormat="1" hidden="1" x14ac:dyDescent="0.2">
      <c r="A281" s="594" t="s">
        <v>39</v>
      </c>
      <c r="B281" s="595"/>
      <c r="C281" s="595"/>
      <c r="D281" s="104">
        <v>6</v>
      </c>
      <c r="E281" s="105">
        <f>4/12</f>
        <v>0.33333333333333331</v>
      </c>
      <c r="F281" s="106" t="s">
        <v>100</v>
      </c>
      <c r="G281" s="596">
        <f t="shared" si="8"/>
        <v>2</v>
      </c>
      <c r="H281" s="595"/>
    </row>
    <row r="282" spans="1:12" s="107" customFormat="1" hidden="1" x14ac:dyDescent="0.2">
      <c r="A282" s="594" t="s">
        <v>40</v>
      </c>
      <c r="B282" s="595"/>
      <c r="C282" s="595"/>
      <c r="D282" s="104">
        <v>10</v>
      </c>
      <c r="E282" s="105">
        <f>3/12</f>
        <v>0.25</v>
      </c>
      <c r="F282" s="106" t="s">
        <v>100</v>
      </c>
      <c r="G282" s="596">
        <f t="shared" si="8"/>
        <v>2.5</v>
      </c>
      <c r="H282" s="595"/>
    </row>
    <row r="283" spans="1:12" s="107" customFormat="1" hidden="1" x14ac:dyDescent="0.2">
      <c r="A283" s="594" t="s">
        <v>41</v>
      </c>
      <c r="B283" s="595"/>
      <c r="C283" s="595"/>
      <c r="D283" s="104">
        <v>11.4</v>
      </c>
      <c r="E283" s="105">
        <f>6/12</f>
        <v>0.5</v>
      </c>
      <c r="F283" s="106" t="s">
        <v>101</v>
      </c>
      <c r="G283" s="596">
        <f t="shared" si="8"/>
        <v>5.7</v>
      </c>
      <c r="H283" s="595"/>
    </row>
    <row r="284" spans="1:12" s="107" customFormat="1" hidden="1" x14ac:dyDescent="0.2">
      <c r="A284" s="594" t="s">
        <v>42</v>
      </c>
      <c r="B284" s="595"/>
      <c r="C284" s="595"/>
      <c r="D284" s="104">
        <v>8.5</v>
      </c>
      <c r="E284" s="105"/>
      <c r="F284" s="106" t="s">
        <v>100</v>
      </c>
      <c r="G284" s="596">
        <f t="shared" si="8"/>
        <v>0</v>
      </c>
      <c r="H284" s="595"/>
    </row>
    <row r="285" spans="1:12" s="107" customFormat="1" hidden="1" x14ac:dyDescent="0.2">
      <c r="A285" s="594" t="s">
        <v>45</v>
      </c>
      <c r="B285" s="595"/>
      <c r="C285" s="595"/>
      <c r="D285" s="104">
        <v>3.38</v>
      </c>
      <c r="E285" s="105">
        <f>2/12</f>
        <v>0.16666666666666666</v>
      </c>
      <c r="F285" s="106" t="s">
        <v>100</v>
      </c>
      <c r="G285" s="596">
        <f t="shared" si="8"/>
        <v>0.56000000000000005</v>
      </c>
      <c r="H285" s="595"/>
    </row>
    <row r="286" spans="1:12" s="107" customFormat="1" hidden="1" x14ac:dyDescent="0.2">
      <c r="A286" s="594" t="s">
        <v>279</v>
      </c>
      <c r="B286" s="595"/>
      <c r="C286" s="595"/>
      <c r="D286" s="104">
        <v>9.91</v>
      </c>
      <c r="E286" s="105">
        <v>2</v>
      </c>
      <c r="F286" s="106" t="s">
        <v>100</v>
      </c>
      <c r="G286" s="596">
        <f>D286*E286</f>
        <v>19.82</v>
      </c>
      <c r="H286" s="595"/>
    </row>
    <row r="287" spans="1:12" s="107" customFormat="1" hidden="1" x14ac:dyDescent="0.2">
      <c r="A287" s="594" t="s">
        <v>44</v>
      </c>
      <c r="B287" s="595"/>
      <c r="C287" s="595"/>
      <c r="D287" s="104">
        <v>31.2</v>
      </c>
      <c r="E287" s="105">
        <f>4/12</f>
        <v>0.33333333333333331</v>
      </c>
      <c r="F287" s="106" t="s">
        <v>101</v>
      </c>
      <c r="G287" s="596">
        <f t="shared" si="8"/>
        <v>10.4</v>
      </c>
      <c r="H287" s="595"/>
    </row>
    <row r="288" spans="1:12" s="107" customFormat="1" hidden="1" x14ac:dyDescent="0.2">
      <c r="A288" s="250"/>
      <c r="B288" s="269"/>
      <c r="C288" s="110"/>
      <c r="D288" s="250"/>
      <c r="E288" s="269"/>
      <c r="F288" s="110"/>
      <c r="G288" s="597">
        <f>SUM(G277:G287)</f>
        <v>55.91</v>
      </c>
      <c r="H288" s="598"/>
    </row>
    <row r="289" spans="1:12" s="107" customFormat="1" hidden="1" x14ac:dyDescent="0.2">
      <c r="A289" s="587" t="s">
        <v>102</v>
      </c>
      <c r="B289" s="588"/>
      <c r="C289" s="589"/>
      <c r="D289" s="250"/>
      <c r="E289" s="269"/>
      <c r="F289" s="110"/>
      <c r="G289" s="599"/>
      <c r="H289" s="598"/>
    </row>
    <row r="290" spans="1:12" s="107" customFormat="1" hidden="1" x14ac:dyDescent="0.2">
      <c r="A290" s="584" t="s">
        <v>91</v>
      </c>
      <c r="B290" s="585"/>
      <c r="C290" s="586"/>
      <c r="D290" s="250"/>
      <c r="E290" s="269"/>
      <c r="F290" s="110"/>
      <c r="G290" s="600">
        <f>ROUND(G288*G289,2)</f>
        <v>0</v>
      </c>
      <c r="H290" s="598"/>
      <c r="I290" s="270"/>
      <c r="J290" s="270"/>
    </row>
    <row r="291" spans="1:12" s="107" customFormat="1" hidden="1" x14ac:dyDescent="0.2">
      <c r="A291" s="271"/>
      <c r="C291" s="271"/>
      <c r="D291" s="26"/>
      <c r="E291" s="271"/>
      <c r="F291" s="271"/>
      <c r="G291" s="272"/>
      <c r="H291" s="272"/>
      <c r="I291" s="271"/>
      <c r="J291" s="271"/>
      <c r="K291" s="26"/>
      <c r="L291" s="271"/>
    </row>
    <row r="292" spans="1:12" s="107" customFormat="1" hidden="1" x14ac:dyDescent="0.2">
      <c r="A292" s="738" t="s">
        <v>315</v>
      </c>
      <c r="B292" s="739"/>
      <c r="C292" s="739"/>
      <c r="D292" s="740"/>
      <c r="E292" s="740"/>
      <c r="F292" s="740"/>
      <c r="G292" s="740"/>
      <c r="H292" s="598"/>
    </row>
    <row r="293" spans="1:12" s="107" customFormat="1" ht="25.5" hidden="1" x14ac:dyDescent="0.2">
      <c r="A293" s="587" t="s">
        <v>27</v>
      </c>
      <c r="B293" s="588"/>
      <c r="C293" s="589"/>
      <c r="D293" s="243" t="s">
        <v>28</v>
      </c>
      <c r="E293" s="243" t="s">
        <v>99</v>
      </c>
      <c r="F293" s="103" t="s">
        <v>1</v>
      </c>
      <c r="G293" s="587" t="s">
        <v>86</v>
      </c>
      <c r="H293" s="589"/>
    </row>
    <row r="294" spans="1:12" s="107" customFormat="1" hidden="1" x14ac:dyDescent="0.2">
      <c r="A294" s="603" t="s">
        <v>35</v>
      </c>
      <c r="B294" s="604"/>
      <c r="C294" s="605"/>
      <c r="D294" s="104">
        <v>24.87</v>
      </c>
      <c r="E294" s="105">
        <f>4/12</f>
        <v>0.33333333333333331</v>
      </c>
      <c r="F294" s="106" t="s">
        <v>100</v>
      </c>
      <c r="G294" s="599">
        <f t="shared" ref="G294:G303" si="9">ROUND(D294*E294,2)</f>
        <v>8.2899999999999991</v>
      </c>
      <c r="H294" s="601"/>
    </row>
    <row r="295" spans="1:12" s="107" customFormat="1" hidden="1" x14ac:dyDescent="0.2">
      <c r="A295" s="603" t="s">
        <v>36</v>
      </c>
      <c r="B295" s="604"/>
      <c r="C295" s="605"/>
      <c r="D295" s="104">
        <v>19.93</v>
      </c>
      <c r="E295" s="105">
        <f>4/12</f>
        <v>0.33333333333333331</v>
      </c>
      <c r="F295" s="106" t="s">
        <v>100</v>
      </c>
      <c r="G295" s="599">
        <f t="shared" si="9"/>
        <v>6.64</v>
      </c>
      <c r="H295" s="601"/>
    </row>
    <row r="296" spans="1:12" s="107" customFormat="1" hidden="1" x14ac:dyDescent="0.2">
      <c r="A296" s="603" t="s">
        <v>37</v>
      </c>
      <c r="B296" s="604"/>
      <c r="C296" s="605"/>
      <c r="D296" s="104">
        <v>31.2</v>
      </c>
      <c r="E296" s="105"/>
      <c r="F296" s="106" t="s">
        <v>101</v>
      </c>
      <c r="G296" s="599">
        <f t="shared" si="9"/>
        <v>0</v>
      </c>
      <c r="H296" s="601"/>
    </row>
    <row r="297" spans="1:12" s="107" customFormat="1" hidden="1" x14ac:dyDescent="0.2">
      <c r="A297" s="603" t="s">
        <v>38</v>
      </c>
      <c r="B297" s="604"/>
      <c r="C297" s="605"/>
      <c r="D297" s="104">
        <v>35.9</v>
      </c>
      <c r="E297" s="105"/>
      <c r="F297" s="106" t="s">
        <v>101</v>
      </c>
      <c r="G297" s="599">
        <f t="shared" si="9"/>
        <v>0</v>
      </c>
      <c r="H297" s="601"/>
    </row>
    <row r="298" spans="1:12" s="107" customFormat="1" hidden="1" x14ac:dyDescent="0.2">
      <c r="A298" s="603" t="s">
        <v>39</v>
      </c>
      <c r="B298" s="604"/>
      <c r="C298" s="605"/>
      <c r="D298" s="104">
        <v>6</v>
      </c>
      <c r="E298" s="105">
        <f>4/12</f>
        <v>0.33333333333333331</v>
      </c>
      <c r="F298" s="106" t="s">
        <v>100</v>
      </c>
      <c r="G298" s="599">
        <f t="shared" si="9"/>
        <v>2</v>
      </c>
      <c r="H298" s="601"/>
    </row>
    <row r="299" spans="1:12" s="107" customFormat="1" hidden="1" x14ac:dyDescent="0.2">
      <c r="A299" s="603" t="s">
        <v>40</v>
      </c>
      <c r="B299" s="604"/>
      <c r="C299" s="605"/>
      <c r="D299" s="104">
        <v>10</v>
      </c>
      <c r="E299" s="105">
        <f>3/12</f>
        <v>0.25</v>
      </c>
      <c r="F299" s="106" t="s">
        <v>100</v>
      </c>
      <c r="G299" s="599">
        <f t="shared" si="9"/>
        <v>2.5</v>
      </c>
      <c r="H299" s="601"/>
    </row>
    <row r="300" spans="1:12" s="107" customFormat="1" hidden="1" x14ac:dyDescent="0.2">
      <c r="A300" s="603" t="s">
        <v>41</v>
      </c>
      <c r="B300" s="604"/>
      <c r="C300" s="605"/>
      <c r="D300" s="104">
        <v>11.4</v>
      </c>
      <c r="E300" s="105">
        <f>6/12</f>
        <v>0.5</v>
      </c>
      <c r="F300" s="106" t="s">
        <v>101</v>
      </c>
      <c r="G300" s="599">
        <f t="shared" si="9"/>
        <v>5.7</v>
      </c>
      <c r="H300" s="601"/>
    </row>
    <row r="301" spans="1:12" s="107" customFormat="1" hidden="1" x14ac:dyDescent="0.2">
      <c r="A301" s="603" t="s">
        <v>42</v>
      </c>
      <c r="B301" s="604"/>
      <c r="C301" s="605"/>
      <c r="D301" s="104">
        <v>8.5</v>
      </c>
      <c r="E301" s="105"/>
      <c r="F301" s="106" t="s">
        <v>100</v>
      </c>
      <c r="G301" s="599">
        <f t="shared" si="9"/>
        <v>0</v>
      </c>
      <c r="H301" s="601"/>
    </row>
    <row r="302" spans="1:12" s="107" customFormat="1" hidden="1" x14ac:dyDescent="0.2">
      <c r="A302" s="603" t="s">
        <v>45</v>
      </c>
      <c r="B302" s="604"/>
      <c r="C302" s="605"/>
      <c r="D302" s="104">
        <v>3.38</v>
      </c>
      <c r="E302" s="105">
        <f>2/12</f>
        <v>0.16666666666666666</v>
      </c>
      <c r="F302" s="106" t="s">
        <v>100</v>
      </c>
      <c r="G302" s="599">
        <f t="shared" si="9"/>
        <v>0.56000000000000005</v>
      </c>
      <c r="H302" s="601"/>
    </row>
    <row r="303" spans="1:12" s="107" customFormat="1" hidden="1" x14ac:dyDescent="0.2">
      <c r="A303" s="603" t="s">
        <v>44</v>
      </c>
      <c r="B303" s="604"/>
      <c r="C303" s="605"/>
      <c r="D303" s="104">
        <v>31.2</v>
      </c>
      <c r="E303" s="105">
        <f>4/12</f>
        <v>0.33333333333333331</v>
      </c>
      <c r="F303" s="106" t="s">
        <v>101</v>
      </c>
      <c r="G303" s="599">
        <f t="shared" si="9"/>
        <v>10.4</v>
      </c>
      <c r="H303" s="601"/>
    </row>
    <row r="304" spans="1:12" s="107" customFormat="1" hidden="1" x14ac:dyDescent="0.2">
      <c r="A304" s="250"/>
      <c r="B304" s="269"/>
      <c r="C304" s="110"/>
      <c r="D304" s="250"/>
      <c r="E304" s="269"/>
      <c r="F304" s="110"/>
      <c r="G304" s="597">
        <f>SUM(G294:G303)</f>
        <v>36.089999999999996</v>
      </c>
      <c r="H304" s="606"/>
    </row>
    <row r="305" spans="1:12" s="107" customFormat="1" hidden="1" x14ac:dyDescent="0.2">
      <c r="A305" s="587" t="s">
        <v>102</v>
      </c>
      <c r="B305" s="588"/>
      <c r="C305" s="589"/>
      <c r="D305" s="250"/>
      <c r="E305" s="269"/>
      <c r="F305" s="110"/>
      <c r="G305" s="599"/>
      <c r="H305" s="601"/>
    </row>
    <row r="306" spans="1:12" s="107" customFormat="1" hidden="1" x14ac:dyDescent="0.2">
      <c r="A306" s="584" t="s">
        <v>91</v>
      </c>
      <c r="B306" s="585"/>
      <c r="C306" s="586"/>
      <c r="D306" s="250"/>
      <c r="E306" s="269"/>
      <c r="F306" s="110"/>
      <c r="G306" s="600">
        <f>ROUND(G304*G305,2)</f>
        <v>0</v>
      </c>
      <c r="H306" s="602"/>
      <c r="I306" s="270"/>
      <c r="J306" s="270"/>
    </row>
    <row r="307" spans="1:12" s="107" customFormat="1" hidden="1" x14ac:dyDescent="0.2">
      <c r="A307" s="271"/>
      <c r="C307" s="271"/>
      <c r="D307" s="26"/>
      <c r="E307" s="271"/>
      <c r="F307" s="271"/>
      <c r="G307" s="272"/>
      <c r="H307" s="272"/>
      <c r="I307" s="271"/>
      <c r="J307" s="271"/>
      <c r="K307" s="26"/>
      <c r="L307" s="271"/>
    </row>
    <row r="308" spans="1:12" s="107" customFormat="1" hidden="1" x14ac:dyDescent="0.2">
      <c r="A308" s="738" t="s">
        <v>316</v>
      </c>
      <c r="B308" s="739"/>
      <c r="C308" s="739"/>
      <c r="D308" s="740"/>
      <c r="E308" s="740"/>
      <c r="F308" s="740"/>
      <c r="G308" s="740"/>
      <c r="H308" s="598"/>
    </row>
    <row r="309" spans="1:12" s="107" customFormat="1" ht="25.5" hidden="1" x14ac:dyDescent="0.2">
      <c r="A309" s="587" t="s">
        <v>27</v>
      </c>
      <c r="B309" s="588"/>
      <c r="C309" s="589"/>
      <c r="D309" s="243" t="s">
        <v>28</v>
      </c>
      <c r="E309" s="243" t="s">
        <v>99</v>
      </c>
      <c r="F309" s="103" t="s">
        <v>1</v>
      </c>
      <c r="G309" s="587" t="s">
        <v>86</v>
      </c>
      <c r="H309" s="589"/>
    </row>
    <row r="310" spans="1:12" s="107" customFormat="1" hidden="1" x14ac:dyDescent="0.2">
      <c r="A310" s="594" t="s">
        <v>35</v>
      </c>
      <c r="B310" s="595"/>
      <c r="C310" s="595"/>
      <c r="D310" s="104">
        <v>24.87</v>
      </c>
      <c r="E310" s="105">
        <f>4/12</f>
        <v>0.33333333333333331</v>
      </c>
      <c r="F310" s="106" t="s">
        <v>100</v>
      </c>
      <c r="G310" s="596">
        <f t="shared" ref="G310:G320" si="10">ROUND(D310*E310,2)</f>
        <v>8.2899999999999991</v>
      </c>
      <c r="H310" s="595"/>
    </row>
    <row r="311" spans="1:12" s="107" customFormat="1" hidden="1" x14ac:dyDescent="0.2">
      <c r="A311" s="594" t="s">
        <v>36</v>
      </c>
      <c r="B311" s="595"/>
      <c r="C311" s="595"/>
      <c r="D311" s="104">
        <v>19.93</v>
      </c>
      <c r="E311" s="105">
        <f>4/12</f>
        <v>0.33333333333333331</v>
      </c>
      <c r="F311" s="106" t="s">
        <v>100</v>
      </c>
      <c r="G311" s="596">
        <f t="shared" si="10"/>
        <v>6.64</v>
      </c>
      <c r="H311" s="595"/>
    </row>
    <row r="312" spans="1:12" s="107" customFormat="1" hidden="1" x14ac:dyDescent="0.2">
      <c r="A312" s="594" t="s">
        <v>37</v>
      </c>
      <c r="B312" s="595"/>
      <c r="C312" s="595"/>
      <c r="D312" s="104">
        <v>31.2</v>
      </c>
      <c r="E312" s="105"/>
      <c r="F312" s="106" t="s">
        <v>101</v>
      </c>
      <c r="G312" s="596">
        <f t="shared" si="10"/>
        <v>0</v>
      </c>
      <c r="H312" s="595"/>
    </row>
    <row r="313" spans="1:12" s="107" customFormat="1" hidden="1" x14ac:dyDescent="0.2">
      <c r="A313" s="594" t="s">
        <v>38</v>
      </c>
      <c r="B313" s="595"/>
      <c r="C313" s="595"/>
      <c r="D313" s="104">
        <v>35.9</v>
      </c>
      <c r="E313" s="105"/>
      <c r="F313" s="106" t="s">
        <v>101</v>
      </c>
      <c r="G313" s="596">
        <f t="shared" si="10"/>
        <v>0</v>
      </c>
      <c r="H313" s="595"/>
    </row>
    <row r="314" spans="1:12" s="107" customFormat="1" hidden="1" x14ac:dyDescent="0.2">
      <c r="A314" s="594" t="s">
        <v>39</v>
      </c>
      <c r="B314" s="595"/>
      <c r="C314" s="595"/>
      <c r="D314" s="104">
        <v>6</v>
      </c>
      <c r="E314" s="105">
        <f>4/12</f>
        <v>0.33333333333333331</v>
      </c>
      <c r="F314" s="106" t="s">
        <v>100</v>
      </c>
      <c r="G314" s="596">
        <f t="shared" si="10"/>
        <v>2</v>
      </c>
      <c r="H314" s="595"/>
    </row>
    <row r="315" spans="1:12" s="107" customFormat="1" hidden="1" x14ac:dyDescent="0.2">
      <c r="A315" s="594" t="s">
        <v>40</v>
      </c>
      <c r="B315" s="595"/>
      <c r="C315" s="595"/>
      <c r="D315" s="104">
        <v>10</v>
      </c>
      <c r="E315" s="105">
        <f>3/12</f>
        <v>0.25</v>
      </c>
      <c r="F315" s="106" t="s">
        <v>100</v>
      </c>
      <c r="G315" s="596">
        <f t="shared" si="10"/>
        <v>2.5</v>
      </c>
      <c r="H315" s="595"/>
    </row>
    <row r="316" spans="1:12" s="107" customFormat="1" hidden="1" x14ac:dyDescent="0.2">
      <c r="A316" s="594" t="s">
        <v>41</v>
      </c>
      <c r="B316" s="595"/>
      <c r="C316" s="595"/>
      <c r="D316" s="104">
        <v>11.4</v>
      </c>
      <c r="E316" s="105">
        <f>6/12</f>
        <v>0.5</v>
      </c>
      <c r="F316" s="106" t="s">
        <v>101</v>
      </c>
      <c r="G316" s="596">
        <f t="shared" si="10"/>
        <v>5.7</v>
      </c>
      <c r="H316" s="595"/>
    </row>
    <row r="317" spans="1:12" s="107" customFormat="1" hidden="1" x14ac:dyDescent="0.2">
      <c r="A317" s="594" t="s">
        <v>42</v>
      </c>
      <c r="B317" s="595"/>
      <c r="C317" s="595"/>
      <c r="D317" s="104">
        <v>8.5</v>
      </c>
      <c r="E317" s="105"/>
      <c r="F317" s="106" t="s">
        <v>100</v>
      </c>
      <c r="G317" s="596">
        <f t="shared" si="10"/>
        <v>0</v>
      </c>
      <c r="H317" s="595"/>
    </row>
    <row r="318" spans="1:12" s="107" customFormat="1" hidden="1" x14ac:dyDescent="0.2">
      <c r="A318" s="594" t="s">
        <v>45</v>
      </c>
      <c r="B318" s="595"/>
      <c r="C318" s="595"/>
      <c r="D318" s="104">
        <v>3.38</v>
      </c>
      <c r="E318" s="105"/>
      <c r="F318" s="106" t="s">
        <v>100</v>
      </c>
      <c r="G318" s="596">
        <f t="shared" si="10"/>
        <v>0</v>
      </c>
      <c r="H318" s="595"/>
    </row>
    <row r="319" spans="1:12" s="107" customFormat="1" hidden="1" x14ac:dyDescent="0.2">
      <c r="A319" s="594" t="s">
        <v>279</v>
      </c>
      <c r="B319" s="595"/>
      <c r="C319" s="595"/>
      <c r="D319" s="104">
        <v>9.91</v>
      </c>
      <c r="E319" s="105">
        <v>2</v>
      </c>
      <c r="F319" s="106" t="s">
        <v>100</v>
      </c>
      <c r="G319" s="596">
        <f>D319*E319</f>
        <v>19.82</v>
      </c>
      <c r="H319" s="595"/>
    </row>
    <row r="320" spans="1:12" s="107" customFormat="1" hidden="1" x14ac:dyDescent="0.2">
      <c r="A320" s="594" t="s">
        <v>44</v>
      </c>
      <c r="B320" s="595"/>
      <c r="C320" s="595"/>
      <c r="D320" s="104">
        <v>31.2</v>
      </c>
      <c r="E320" s="105">
        <f>4/12</f>
        <v>0.33333333333333331</v>
      </c>
      <c r="F320" s="106" t="s">
        <v>101</v>
      </c>
      <c r="G320" s="596">
        <f t="shared" si="10"/>
        <v>10.4</v>
      </c>
      <c r="H320" s="595"/>
    </row>
    <row r="321" spans="1:12" s="107" customFormat="1" hidden="1" x14ac:dyDescent="0.2">
      <c r="A321" s="250"/>
      <c r="B321" s="269"/>
      <c r="C321" s="110"/>
      <c r="D321" s="250"/>
      <c r="E321" s="269"/>
      <c r="F321" s="110"/>
      <c r="G321" s="597">
        <f>SUM(G310:G320)</f>
        <v>55.35</v>
      </c>
      <c r="H321" s="598"/>
    </row>
    <row r="322" spans="1:12" s="107" customFormat="1" hidden="1" x14ac:dyDescent="0.2">
      <c r="A322" s="587" t="s">
        <v>102</v>
      </c>
      <c r="B322" s="588"/>
      <c r="C322" s="589"/>
      <c r="D322" s="250"/>
      <c r="E322" s="269"/>
      <c r="F322" s="110"/>
      <c r="G322" s="599"/>
      <c r="H322" s="598"/>
    </row>
    <row r="323" spans="1:12" s="107" customFormat="1" hidden="1" x14ac:dyDescent="0.2">
      <c r="A323" s="584" t="s">
        <v>91</v>
      </c>
      <c r="B323" s="585"/>
      <c r="C323" s="586"/>
      <c r="D323" s="250"/>
      <c r="E323" s="269"/>
      <c r="F323" s="110"/>
      <c r="G323" s="600">
        <f>ROUND(G321*G322,2)</f>
        <v>0</v>
      </c>
      <c r="H323" s="598"/>
      <c r="I323" s="270"/>
      <c r="J323" s="270"/>
    </row>
    <row r="324" spans="1:12" s="107" customFormat="1" hidden="1" x14ac:dyDescent="0.2">
      <c r="A324" s="271"/>
      <c r="C324" s="271"/>
      <c r="D324" s="26"/>
      <c r="E324" s="271"/>
      <c r="F324" s="271"/>
      <c r="G324" s="272"/>
      <c r="H324" s="272"/>
      <c r="I324" s="271"/>
      <c r="J324" s="271"/>
      <c r="K324" s="26"/>
      <c r="L324" s="271"/>
    </row>
    <row r="325" spans="1:12" s="107" customFormat="1" hidden="1" x14ac:dyDescent="0.2">
      <c r="A325" s="738" t="s">
        <v>317</v>
      </c>
      <c r="B325" s="739"/>
      <c r="C325" s="739"/>
      <c r="D325" s="740"/>
      <c r="E325" s="740"/>
      <c r="F325" s="740"/>
      <c r="G325" s="740"/>
      <c r="H325" s="598"/>
    </row>
    <row r="326" spans="1:12" s="107" customFormat="1" ht="25.5" hidden="1" x14ac:dyDescent="0.2">
      <c r="A326" s="587" t="s">
        <v>27</v>
      </c>
      <c r="B326" s="588"/>
      <c r="C326" s="589"/>
      <c r="D326" s="243" t="s">
        <v>28</v>
      </c>
      <c r="E326" s="243" t="s">
        <v>99</v>
      </c>
      <c r="F326" s="103" t="s">
        <v>1</v>
      </c>
      <c r="G326" s="587" t="s">
        <v>86</v>
      </c>
      <c r="H326" s="589"/>
    </row>
    <row r="327" spans="1:12" s="107" customFormat="1" hidden="1" x14ac:dyDescent="0.2">
      <c r="A327" s="603" t="s">
        <v>35</v>
      </c>
      <c r="B327" s="604"/>
      <c r="C327" s="605"/>
      <c r="D327" s="104">
        <v>24.87</v>
      </c>
      <c r="E327" s="105">
        <f>4/12</f>
        <v>0.33333333333333331</v>
      </c>
      <c r="F327" s="106" t="s">
        <v>100</v>
      </c>
      <c r="G327" s="599">
        <f t="shared" ref="G327:G336" si="11">ROUND(D327*E327,2)</f>
        <v>8.2899999999999991</v>
      </c>
      <c r="H327" s="601"/>
    </row>
    <row r="328" spans="1:12" s="107" customFormat="1" hidden="1" x14ac:dyDescent="0.2">
      <c r="A328" s="603" t="s">
        <v>36</v>
      </c>
      <c r="B328" s="604"/>
      <c r="C328" s="605"/>
      <c r="D328" s="104">
        <v>19.93</v>
      </c>
      <c r="E328" s="105">
        <f>4/12</f>
        <v>0.33333333333333331</v>
      </c>
      <c r="F328" s="106" t="s">
        <v>100</v>
      </c>
      <c r="G328" s="599">
        <f t="shared" si="11"/>
        <v>6.64</v>
      </c>
      <c r="H328" s="601"/>
    </row>
    <row r="329" spans="1:12" s="107" customFormat="1" hidden="1" x14ac:dyDescent="0.2">
      <c r="A329" s="603" t="s">
        <v>37</v>
      </c>
      <c r="B329" s="604"/>
      <c r="C329" s="605"/>
      <c r="D329" s="104">
        <v>31.2</v>
      </c>
      <c r="E329" s="105"/>
      <c r="F329" s="106" t="s">
        <v>101</v>
      </c>
      <c r="G329" s="599">
        <f t="shared" si="11"/>
        <v>0</v>
      </c>
      <c r="H329" s="601"/>
    </row>
    <row r="330" spans="1:12" s="107" customFormat="1" hidden="1" x14ac:dyDescent="0.2">
      <c r="A330" s="603" t="s">
        <v>38</v>
      </c>
      <c r="B330" s="604"/>
      <c r="C330" s="605"/>
      <c r="D330" s="104">
        <v>35.9</v>
      </c>
      <c r="E330" s="105"/>
      <c r="F330" s="106" t="s">
        <v>101</v>
      </c>
      <c r="G330" s="599">
        <f t="shared" si="11"/>
        <v>0</v>
      </c>
      <c r="H330" s="601"/>
    </row>
    <row r="331" spans="1:12" s="107" customFormat="1" hidden="1" x14ac:dyDescent="0.2">
      <c r="A331" s="603" t="s">
        <v>39</v>
      </c>
      <c r="B331" s="604"/>
      <c r="C331" s="605"/>
      <c r="D331" s="104">
        <v>6</v>
      </c>
      <c r="E331" s="105">
        <f>4/12</f>
        <v>0.33333333333333331</v>
      </c>
      <c r="F331" s="106" t="s">
        <v>100</v>
      </c>
      <c r="G331" s="599">
        <f t="shared" si="11"/>
        <v>2</v>
      </c>
      <c r="H331" s="601"/>
    </row>
    <row r="332" spans="1:12" s="107" customFormat="1" hidden="1" x14ac:dyDescent="0.2">
      <c r="A332" s="603" t="s">
        <v>40</v>
      </c>
      <c r="B332" s="604"/>
      <c r="C332" s="605"/>
      <c r="D332" s="104">
        <v>10</v>
      </c>
      <c r="E332" s="105">
        <f>3/12</f>
        <v>0.25</v>
      </c>
      <c r="F332" s="106" t="s">
        <v>100</v>
      </c>
      <c r="G332" s="599">
        <f t="shared" si="11"/>
        <v>2.5</v>
      </c>
      <c r="H332" s="601"/>
    </row>
    <row r="333" spans="1:12" s="107" customFormat="1" hidden="1" x14ac:dyDescent="0.2">
      <c r="A333" s="603" t="s">
        <v>41</v>
      </c>
      <c r="B333" s="604"/>
      <c r="C333" s="605"/>
      <c r="D333" s="104">
        <v>11.4</v>
      </c>
      <c r="E333" s="105">
        <f>6/12</f>
        <v>0.5</v>
      </c>
      <c r="F333" s="106" t="s">
        <v>101</v>
      </c>
      <c r="G333" s="599">
        <f t="shared" si="11"/>
        <v>5.7</v>
      </c>
      <c r="H333" s="601"/>
    </row>
    <row r="334" spans="1:12" s="107" customFormat="1" hidden="1" x14ac:dyDescent="0.2">
      <c r="A334" s="603" t="s">
        <v>42</v>
      </c>
      <c r="B334" s="604"/>
      <c r="C334" s="605"/>
      <c r="D334" s="104">
        <v>4</v>
      </c>
      <c r="E334" s="105"/>
      <c r="F334" s="106" t="s">
        <v>100</v>
      </c>
      <c r="G334" s="599">
        <f t="shared" si="11"/>
        <v>0</v>
      </c>
      <c r="H334" s="601"/>
    </row>
    <row r="335" spans="1:12" s="107" customFormat="1" hidden="1" x14ac:dyDescent="0.2">
      <c r="A335" s="603" t="s">
        <v>45</v>
      </c>
      <c r="B335" s="604"/>
      <c r="C335" s="605"/>
      <c r="D335" s="104">
        <v>3.38</v>
      </c>
      <c r="E335" s="105"/>
      <c r="F335" s="106" t="s">
        <v>100</v>
      </c>
      <c r="G335" s="599">
        <f t="shared" si="11"/>
        <v>0</v>
      </c>
      <c r="H335" s="601"/>
    </row>
    <row r="336" spans="1:12" s="107" customFormat="1" hidden="1" x14ac:dyDescent="0.2">
      <c r="A336" s="603" t="s">
        <v>44</v>
      </c>
      <c r="B336" s="604"/>
      <c r="C336" s="605"/>
      <c r="D336" s="104">
        <v>31.2</v>
      </c>
      <c r="E336" s="105">
        <f>4/12</f>
        <v>0.33333333333333331</v>
      </c>
      <c r="F336" s="106" t="s">
        <v>101</v>
      </c>
      <c r="G336" s="599">
        <f t="shared" si="11"/>
        <v>10.4</v>
      </c>
      <c r="H336" s="601"/>
    </row>
    <row r="337" spans="1:12" s="107" customFormat="1" hidden="1" x14ac:dyDescent="0.2">
      <c r="A337" s="250"/>
      <c r="B337" s="269"/>
      <c r="C337" s="110"/>
      <c r="D337" s="250"/>
      <c r="E337" s="269"/>
      <c r="F337" s="110"/>
      <c r="G337" s="597">
        <f>SUM(G327:G336)</f>
        <v>35.53</v>
      </c>
      <c r="H337" s="606"/>
    </row>
    <row r="338" spans="1:12" s="107" customFormat="1" hidden="1" x14ac:dyDescent="0.2">
      <c r="A338" s="587" t="s">
        <v>102</v>
      </c>
      <c r="B338" s="588"/>
      <c r="C338" s="589"/>
      <c r="D338" s="250"/>
      <c r="E338" s="269"/>
      <c r="F338" s="110"/>
      <c r="G338" s="599"/>
      <c r="H338" s="601"/>
    </row>
    <row r="339" spans="1:12" s="107" customFormat="1" hidden="1" x14ac:dyDescent="0.2">
      <c r="A339" s="584" t="s">
        <v>91</v>
      </c>
      <c r="B339" s="585"/>
      <c r="C339" s="586"/>
      <c r="D339" s="250"/>
      <c r="E339" s="269"/>
      <c r="F339" s="110"/>
      <c r="G339" s="600">
        <f>ROUND(G337*G338,2)</f>
        <v>0</v>
      </c>
      <c r="H339" s="602"/>
      <c r="I339" s="270"/>
      <c r="J339" s="270"/>
    </row>
    <row r="340" spans="1:12" s="107" customFormat="1" hidden="1" x14ac:dyDescent="0.2">
      <c r="A340" s="271"/>
      <c r="C340" s="271"/>
      <c r="D340" s="26"/>
      <c r="E340" s="271"/>
      <c r="F340" s="271"/>
      <c r="G340" s="272"/>
      <c r="H340" s="272"/>
      <c r="I340" s="271"/>
      <c r="J340" s="271"/>
      <c r="K340" s="26"/>
      <c r="L340" s="271"/>
    </row>
    <row r="341" spans="1:12" s="107" customFormat="1" x14ac:dyDescent="0.2">
      <c r="A341" s="581" t="s">
        <v>332</v>
      </c>
      <c r="B341" s="582"/>
      <c r="C341" s="582"/>
      <c r="D341" s="582"/>
      <c r="E341" s="582"/>
      <c r="F341" s="582"/>
      <c r="G341" s="582"/>
      <c r="H341" s="583"/>
    </row>
    <row r="342" spans="1:12" s="107" customFormat="1" ht="25.5" x14ac:dyDescent="0.2">
      <c r="A342" s="587" t="s">
        <v>27</v>
      </c>
      <c r="B342" s="588"/>
      <c r="C342" s="589"/>
      <c r="D342" s="243" t="s">
        <v>28</v>
      </c>
      <c r="E342" s="243" t="s">
        <v>99</v>
      </c>
      <c r="F342" s="103" t="s">
        <v>1</v>
      </c>
      <c r="G342" s="587" t="s">
        <v>86</v>
      </c>
      <c r="H342" s="589"/>
    </row>
    <row r="343" spans="1:12" s="107" customFormat="1" x14ac:dyDescent="0.2">
      <c r="A343" s="594" t="s">
        <v>35</v>
      </c>
      <c r="B343" s="595"/>
      <c r="C343" s="595"/>
      <c r="D343" s="958">
        <v>70.59</v>
      </c>
      <c r="E343" s="105">
        <f>3/12</f>
        <v>0.25</v>
      </c>
      <c r="F343" s="106" t="s">
        <v>100</v>
      </c>
      <c r="G343" s="596">
        <f t="shared" ref="G343:G351" si="12">ROUND(D343*E343,2)</f>
        <v>17.649999999999999</v>
      </c>
      <c r="H343" s="595"/>
    </row>
    <row r="344" spans="1:12" s="107" customFormat="1" x14ac:dyDescent="0.2">
      <c r="A344" s="594" t="s">
        <v>36</v>
      </c>
      <c r="B344" s="595"/>
      <c r="C344" s="595"/>
      <c r="D344" s="958">
        <v>53.28</v>
      </c>
      <c r="E344" s="105">
        <f>3/12</f>
        <v>0.25</v>
      </c>
      <c r="F344" s="106" t="s">
        <v>100</v>
      </c>
      <c r="G344" s="596">
        <f t="shared" si="12"/>
        <v>13.32</v>
      </c>
      <c r="H344" s="595"/>
    </row>
    <row r="345" spans="1:12" s="107" customFormat="1" x14ac:dyDescent="0.2">
      <c r="A345" s="594" t="s">
        <v>37</v>
      </c>
      <c r="B345" s="595"/>
      <c r="C345" s="595"/>
      <c r="D345" s="958">
        <v>28.9</v>
      </c>
      <c r="E345" s="105">
        <f>2/12</f>
        <v>0.16666666666666666</v>
      </c>
      <c r="F345" s="106" t="s">
        <v>101</v>
      </c>
      <c r="G345" s="596">
        <f t="shared" si="12"/>
        <v>4.82</v>
      </c>
      <c r="H345" s="595"/>
    </row>
    <row r="346" spans="1:12" s="107" customFormat="1" x14ac:dyDescent="0.2">
      <c r="A346" s="594" t="s">
        <v>38</v>
      </c>
      <c r="B346" s="595"/>
      <c r="C346" s="595"/>
      <c r="D346" s="958">
        <v>28.9</v>
      </c>
      <c r="E346" s="105"/>
      <c r="F346" s="106" t="s">
        <v>101</v>
      </c>
      <c r="G346" s="596">
        <f t="shared" si="12"/>
        <v>0</v>
      </c>
      <c r="H346" s="595"/>
    </row>
    <row r="347" spans="1:12" s="107" customFormat="1" x14ac:dyDescent="0.2">
      <c r="A347" s="594" t="s">
        <v>39</v>
      </c>
      <c r="B347" s="595"/>
      <c r="C347" s="595"/>
      <c r="D347" s="958">
        <v>9.2899999999999991</v>
      </c>
      <c r="E347" s="105">
        <f>3/12</f>
        <v>0.25</v>
      </c>
      <c r="F347" s="106" t="s">
        <v>100</v>
      </c>
      <c r="G347" s="596">
        <f t="shared" si="12"/>
        <v>2.3199999999999998</v>
      </c>
      <c r="H347" s="595"/>
    </row>
    <row r="348" spans="1:12" s="107" customFormat="1" x14ac:dyDescent="0.2">
      <c r="A348" s="594" t="s">
        <v>40</v>
      </c>
      <c r="B348" s="595"/>
      <c r="C348" s="595"/>
      <c r="D348" s="958">
        <v>12.13</v>
      </c>
      <c r="E348" s="105">
        <f>2/12</f>
        <v>0.16666666666666666</v>
      </c>
      <c r="F348" s="106" t="s">
        <v>100</v>
      </c>
      <c r="G348" s="596">
        <f t="shared" si="12"/>
        <v>2.02</v>
      </c>
      <c r="H348" s="595"/>
    </row>
    <row r="349" spans="1:12" s="107" customFormat="1" x14ac:dyDescent="0.2">
      <c r="A349" s="594" t="s">
        <v>41</v>
      </c>
      <c r="B349" s="595"/>
      <c r="C349" s="595"/>
      <c r="D349" s="958">
        <v>7.38</v>
      </c>
      <c r="E349" s="105"/>
      <c r="F349" s="106" t="s">
        <v>101</v>
      </c>
      <c r="G349" s="596">
        <f t="shared" si="12"/>
        <v>0</v>
      </c>
      <c r="H349" s="595"/>
    </row>
    <row r="350" spans="1:12" s="107" customFormat="1" x14ac:dyDescent="0.2">
      <c r="A350" s="594" t="s">
        <v>42</v>
      </c>
      <c r="B350" s="595"/>
      <c r="C350" s="595"/>
      <c r="D350" s="958">
        <v>19.8</v>
      </c>
      <c r="E350" s="105"/>
      <c r="F350" s="106" t="s">
        <v>100</v>
      </c>
      <c r="G350" s="596">
        <f t="shared" si="12"/>
        <v>0</v>
      </c>
      <c r="H350" s="595"/>
    </row>
    <row r="351" spans="1:12" s="107" customFormat="1" x14ac:dyDescent="0.2">
      <c r="A351" s="594" t="s">
        <v>45</v>
      </c>
      <c r="B351" s="595"/>
      <c r="C351" s="595"/>
      <c r="D351" s="958">
        <v>4.1399999999999997</v>
      </c>
      <c r="E351" s="105"/>
      <c r="F351" s="106" t="s">
        <v>100</v>
      </c>
      <c r="G351" s="596">
        <f t="shared" si="12"/>
        <v>0</v>
      </c>
      <c r="H351" s="595"/>
    </row>
    <row r="352" spans="1:12" s="107" customFormat="1" x14ac:dyDescent="0.2">
      <c r="A352" s="594" t="s">
        <v>279</v>
      </c>
      <c r="B352" s="595"/>
      <c r="C352" s="595"/>
      <c r="D352" s="958">
        <v>13.73</v>
      </c>
      <c r="E352" s="105">
        <v>2</v>
      </c>
      <c r="F352" s="106" t="s">
        <v>100</v>
      </c>
      <c r="G352" s="596">
        <f>D352*E352</f>
        <v>27.46</v>
      </c>
      <c r="H352" s="595"/>
    </row>
    <row r="353" spans="1:12" s="107" customFormat="1" x14ac:dyDescent="0.2">
      <c r="A353" s="594" t="s">
        <v>44</v>
      </c>
      <c r="B353" s="595"/>
      <c r="C353" s="595"/>
      <c r="D353" s="958">
        <v>28.9</v>
      </c>
      <c r="E353" s="105"/>
      <c r="F353" s="106" t="s">
        <v>101</v>
      </c>
      <c r="G353" s="596">
        <f>ROUND(D353*E353,2)</f>
        <v>0</v>
      </c>
      <c r="H353" s="595"/>
    </row>
    <row r="354" spans="1:12" s="107" customFormat="1" x14ac:dyDescent="0.2">
      <c r="A354" s="250"/>
      <c r="B354" s="269"/>
      <c r="C354" s="110"/>
      <c r="D354" s="250"/>
      <c r="E354" s="269"/>
      <c r="F354" s="110"/>
      <c r="G354" s="597">
        <f>SUM(G343:G353)</f>
        <v>67.59</v>
      </c>
      <c r="H354" s="598"/>
    </row>
    <row r="355" spans="1:12" s="107" customFormat="1" x14ac:dyDescent="0.2">
      <c r="A355" s="587" t="s">
        <v>102</v>
      </c>
      <c r="B355" s="588"/>
      <c r="C355" s="589"/>
      <c r="D355" s="250"/>
      <c r="E355" s="269"/>
      <c r="F355" s="110"/>
      <c r="G355" s="599">
        <f>'Lote 01 - P1-UTMB ASA SUL '!D292</f>
        <v>1</v>
      </c>
      <c r="H355" s="598"/>
    </row>
    <row r="356" spans="1:12" s="107" customFormat="1" x14ac:dyDescent="0.2">
      <c r="A356" s="584" t="s">
        <v>91</v>
      </c>
      <c r="B356" s="585"/>
      <c r="C356" s="586"/>
      <c r="D356" s="250"/>
      <c r="E356" s="269"/>
      <c r="F356" s="110"/>
      <c r="G356" s="600">
        <f>ROUND(G354*G355,2)</f>
        <v>67.59</v>
      </c>
      <c r="H356" s="598"/>
      <c r="I356" s="270"/>
      <c r="J356" s="270"/>
    </row>
    <row r="357" spans="1:12" s="107" customFormat="1" x14ac:dyDescent="0.2">
      <c r="A357" s="271"/>
      <c r="C357" s="271"/>
      <c r="D357" s="26"/>
      <c r="E357" s="271"/>
      <c r="F357" s="271"/>
      <c r="G357" s="272"/>
      <c r="H357" s="272"/>
      <c r="I357" s="271"/>
      <c r="J357" s="271"/>
      <c r="K357" s="26"/>
      <c r="L357" s="271"/>
    </row>
    <row r="358" spans="1:12" x14ac:dyDescent="0.2">
      <c r="A358" s="577" t="s">
        <v>26</v>
      </c>
      <c r="B358" s="578"/>
      <c r="C358" s="578"/>
      <c r="D358" s="578"/>
      <c r="E358" s="578"/>
      <c r="F358" s="579"/>
      <c r="G358" s="607">
        <f>G356+G191+G174+G157</f>
        <v>342.77</v>
      </c>
      <c r="H358" s="608"/>
    </row>
    <row r="361" spans="1:12" s="275" customFormat="1" x14ac:dyDescent="0.2">
      <c r="A361" s="564"/>
      <c r="B361" s="564"/>
      <c r="C361" s="564"/>
      <c r="D361" s="564"/>
      <c r="H361" s="564"/>
      <c r="I361" s="564"/>
      <c r="J361" s="564"/>
    </row>
    <row r="362" spans="1:12" s="275" customFormat="1" x14ac:dyDescent="0.2">
      <c r="A362" s="565"/>
      <c r="B362" s="565"/>
      <c r="C362" s="565"/>
      <c r="D362" s="565"/>
      <c r="H362" s="565"/>
      <c r="I362" s="565"/>
      <c r="J362" s="565"/>
    </row>
  </sheetData>
  <sheetProtection password="C7D3" sheet="1" objects="1" scenarios="1"/>
  <mergeCells count="745">
    <mergeCell ref="A361:D361"/>
    <mergeCell ref="H361:J361"/>
    <mergeCell ref="A362:D362"/>
    <mergeCell ref="H362:J362"/>
    <mergeCell ref="H15:J15"/>
    <mergeCell ref="A353:C353"/>
    <mergeCell ref="G353:H353"/>
    <mergeCell ref="G354:H354"/>
    <mergeCell ref="A355:C355"/>
    <mergeCell ref="G355:H355"/>
    <mergeCell ref="A356:C356"/>
    <mergeCell ref="G356:H356"/>
    <mergeCell ref="A350:C350"/>
    <mergeCell ref="G350:H350"/>
    <mergeCell ref="A351:C351"/>
    <mergeCell ref="G351:H351"/>
    <mergeCell ref="A352:C352"/>
    <mergeCell ref="G352:H352"/>
    <mergeCell ref="A347:C347"/>
    <mergeCell ref="G347:H347"/>
    <mergeCell ref="A348:C348"/>
    <mergeCell ref="G348:H348"/>
    <mergeCell ref="A349:C349"/>
    <mergeCell ref="G349:H349"/>
    <mergeCell ref="A344:C344"/>
    <mergeCell ref="G344:H344"/>
    <mergeCell ref="A345:C345"/>
    <mergeCell ref="G345:H345"/>
    <mergeCell ref="A346:C346"/>
    <mergeCell ref="G346:H346"/>
    <mergeCell ref="A339:C339"/>
    <mergeCell ref="G339:H339"/>
    <mergeCell ref="A341:H341"/>
    <mergeCell ref="A342:C342"/>
    <mergeCell ref="G342:H342"/>
    <mergeCell ref="A343:C343"/>
    <mergeCell ref="G343:H343"/>
    <mergeCell ref="A335:C335"/>
    <mergeCell ref="G335:H335"/>
    <mergeCell ref="A336:C336"/>
    <mergeCell ref="G336:H336"/>
    <mergeCell ref="G337:H337"/>
    <mergeCell ref="A338:C338"/>
    <mergeCell ref="G338:H338"/>
    <mergeCell ref="A332:C332"/>
    <mergeCell ref="G332:H332"/>
    <mergeCell ref="A333:C333"/>
    <mergeCell ref="G333:H333"/>
    <mergeCell ref="A334:C334"/>
    <mergeCell ref="G334:H334"/>
    <mergeCell ref="A329:C329"/>
    <mergeCell ref="G329:H329"/>
    <mergeCell ref="A330:C330"/>
    <mergeCell ref="G330:H330"/>
    <mergeCell ref="A331:C331"/>
    <mergeCell ref="G331:H331"/>
    <mergeCell ref="A325:H325"/>
    <mergeCell ref="A326:C326"/>
    <mergeCell ref="G326:H326"/>
    <mergeCell ref="A327:C327"/>
    <mergeCell ref="G327:H327"/>
    <mergeCell ref="A328:C328"/>
    <mergeCell ref="G328:H328"/>
    <mergeCell ref="A320:C320"/>
    <mergeCell ref="G320:H320"/>
    <mergeCell ref="G321:H321"/>
    <mergeCell ref="A322:C322"/>
    <mergeCell ref="G322:H322"/>
    <mergeCell ref="A323:C323"/>
    <mergeCell ref="G323:H323"/>
    <mergeCell ref="A317:C317"/>
    <mergeCell ref="G317:H317"/>
    <mergeCell ref="A318:C318"/>
    <mergeCell ref="G318:H318"/>
    <mergeCell ref="A319:C319"/>
    <mergeCell ref="G319:H319"/>
    <mergeCell ref="A314:C314"/>
    <mergeCell ref="G314:H314"/>
    <mergeCell ref="A315:C315"/>
    <mergeCell ref="G315:H315"/>
    <mergeCell ref="A316:C316"/>
    <mergeCell ref="G316:H316"/>
    <mergeCell ref="A311:C311"/>
    <mergeCell ref="G311:H311"/>
    <mergeCell ref="A312:C312"/>
    <mergeCell ref="G312:H312"/>
    <mergeCell ref="A313:C313"/>
    <mergeCell ref="G313:H313"/>
    <mergeCell ref="A306:C306"/>
    <mergeCell ref="G306:H306"/>
    <mergeCell ref="A308:H308"/>
    <mergeCell ref="A309:C309"/>
    <mergeCell ref="G309:H309"/>
    <mergeCell ref="A310:C310"/>
    <mergeCell ref="G310:H310"/>
    <mergeCell ref="A302:C302"/>
    <mergeCell ref="G302:H302"/>
    <mergeCell ref="A303:C303"/>
    <mergeCell ref="G303:H303"/>
    <mergeCell ref="G304:H304"/>
    <mergeCell ref="A305:C305"/>
    <mergeCell ref="G305:H305"/>
    <mergeCell ref="A299:C299"/>
    <mergeCell ref="G299:H299"/>
    <mergeCell ref="A300:C300"/>
    <mergeCell ref="G300:H300"/>
    <mergeCell ref="A301:C301"/>
    <mergeCell ref="G301:H301"/>
    <mergeCell ref="A296:C296"/>
    <mergeCell ref="G296:H296"/>
    <mergeCell ref="A297:C297"/>
    <mergeCell ref="G297:H297"/>
    <mergeCell ref="A298:C298"/>
    <mergeCell ref="G298:H298"/>
    <mergeCell ref="A292:H292"/>
    <mergeCell ref="A293:C293"/>
    <mergeCell ref="G293:H293"/>
    <mergeCell ref="A294:C294"/>
    <mergeCell ref="G294:H294"/>
    <mergeCell ref="A295:C295"/>
    <mergeCell ref="G295:H295"/>
    <mergeCell ref="A287:C287"/>
    <mergeCell ref="G287:H287"/>
    <mergeCell ref="G288:H288"/>
    <mergeCell ref="A289:C289"/>
    <mergeCell ref="G289:H289"/>
    <mergeCell ref="A290:C290"/>
    <mergeCell ref="G290:H290"/>
    <mergeCell ref="A284:C284"/>
    <mergeCell ref="G284:H284"/>
    <mergeCell ref="A285:C285"/>
    <mergeCell ref="G285:H285"/>
    <mergeCell ref="A286:C286"/>
    <mergeCell ref="G286:H286"/>
    <mergeCell ref="A281:C281"/>
    <mergeCell ref="G281:H281"/>
    <mergeCell ref="A282:C282"/>
    <mergeCell ref="G282:H282"/>
    <mergeCell ref="A283:C283"/>
    <mergeCell ref="G283:H283"/>
    <mergeCell ref="A278:C278"/>
    <mergeCell ref="G278:H278"/>
    <mergeCell ref="A279:C279"/>
    <mergeCell ref="G279:H279"/>
    <mergeCell ref="A280:C280"/>
    <mergeCell ref="G280:H280"/>
    <mergeCell ref="A273:C273"/>
    <mergeCell ref="G273:H273"/>
    <mergeCell ref="A275:H275"/>
    <mergeCell ref="A276:C276"/>
    <mergeCell ref="G276:H276"/>
    <mergeCell ref="A277:C277"/>
    <mergeCell ref="G277:H277"/>
    <mergeCell ref="A269:C269"/>
    <mergeCell ref="G269:H269"/>
    <mergeCell ref="A270:C270"/>
    <mergeCell ref="G270:H270"/>
    <mergeCell ref="G271:H271"/>
    <mergeCell ref="A272:C272"/>
    <mergeCell ref="G272:H272"/>
    <mergeCell ref="A266:C266"/>
    <mergeCell ref="G266:H266"/>
    <mergeCell ref="A267:C267"/>
    <mergeCell ref="G267:H267"/>
    <mergeCell ref="A268:C268"/>
    <mergeCell ref="G268:H268"/>
    <mergeCell ref="A263:C263"/>
    <mergeCell ref="G263:H263"/>
    <mergeCell ref="A264:C264"/>
    <mergeCell ref="G264:H264"/>
    <mergeCell ref="A265:C265"/>
    <mergeCell ref="G265:H265"/>
    <mergeCell ref="A259:H259"/>
    <mergeCell ref="A260:C260"/>
    <mergeCell ref="G260:H260"/>
    <mergeCell ref="A261:C261"/>
    <mergeCell ref="G261:H261"/>
    <mergeCell ref="A262:C262"/>
    <mergeCell ref="G262:H262"/>
    <mergeCell ref="A254:C254"/>
    <mergeCell ref="G254:H254"/>
    <mergeCell ref="G255:H255"/>
    <mergeCell ref="A256:C256"/>
    <mergeCell ref="G256:H256"/>
    <mergeCell ref="A257:C257"/>
    <mergeCell ref="G257:H257"/>
    <mergeCell ref="A251:C251"/>
    <mergeCell ref="G251:H251"/>
    <mergeCell ref="A252:C252"/>
    <mergeCell ref="G252:H252"/>
    <mergeCell ref="A253:C253"/>
    <mergeCell ref="G253:H253"/>
    <mergeCell ref="A248:C248"/>
    <mergeCell ref="G248:H248"/>
    <mergeCell ref="A249:C249"/>
    <mergeCell ref="G249:H249"/>
    <mergeCell ref="A250:C250"/>
    <mergeCell ref="G250:H250"/>
    <mergeCell ref="A245:C245"/>
    <mergeCell ref="G245:H245"/>
    <mergeCell ref="A246:C246"/>
    <mergeCell ref="G246:H246"/>
    <mergeCell ref="A247:C247"/>
    <mergeCell ref="G247:H247"/>
    <mergeCell ref="A240:C240"/>
    <mergeCell ref="G240:H240"/>
    <mergeCell ref="A242:H242"/>
    <mergeCell ref="A243:C243"/>
    <mergeCell ref="G243:H243"/>
    <mergeCell ref="A244:C244"/>
    <mergeCell ref="G244:H244"/>
    <mergeCell ref="A236:C236"/>
    <mergeCell ref="G236:H236"/>
    <mergeCell ref="A237:C237"/>
    <mergeCell ref="G237:H237"/>
    <mergeCell ref="G238:H238"/>
    <mergeCell ref="A239:C239"/>
    <mergeCell ref="G239:H239"/>
    <mergeCell ref="A233:C233"/>
    <mergeCell ref="G233:H233"/>
    <mergeCell ref="A234:C234"/>
    <mergeCell ref="G234:H234"/>
    <mergeCell ref="A235:C235"/>
    <mergeCell ref="G235:H235"/>
    <mergeCell ref="A230:C230"/>
    <mergeCell ref="G230:H230"/>
    <mergeCell ref="A231:C231"/>
    <mergeCell ref="G231:H231"/>
    <mergeCell ref="A232:C232"/>
    <mergeCell ref="G232:H232"/>
    <mergeCell ref="A226:H226"/>
    <mergeCell ref="A227:C227"/>
    <mergeCell ref="G227:H227"/>
    <mergeCell ref="A228:C228"/>
    <mergeCell ref="G228:H228"/>
    <mergeCell ref="A229:C229"/>
    <mergeCell ref="G229:H229"/>
    <mergeCell ref="A221:C221"/>
    <mergeCell ref="G221:H221"/>
    <mergeCell ref="G222:H222"/>
    <mergeCell ref="A223:C223"/>
    <mergeCell ref="G223:H223"/>
    <mergeCell ref="A224:C224"/>
    <mergeCell ref="G224:H224"/>
    <mergeCell ref="A218:C218"/>
    <mergeCell ref="G218:H218"/>
    <mergeCell ref="A219:C219"/>
    <mergeCell ref="G219:H219"/>
    <mergeCell ref="A220:C220"/>
    <mergeCell ref="G220:H220"/>
    <mergeCell ref="A215:C215"/>
    <mergeCell ref="G215:H215"/>
    <mergeCell ref="A216:C216"/>
    <mergeCell ref="G216:H216"/>
    <mergeCell ref="A217:C217"/>
    <mergeCell ref="G217:H217"/>
    <mergeCell ref="A212:C212"/>
    <mergeCell ref="G212:H212"/>
    <mergeCell ref="A213:C213"/>
    <mergeCell ref="G213:H213"/>
    <mergeCell ref="A214:C214"/>
    <mergeCell ref="G214:H214"/>
    <mergeCell ref="A207:C207"/>
    <mergeCell ref="G207:H207"/>
    <mergeCell ref="A209:H209"/>
    <mergeCell ref="A210:C210"/>
    <mergeCell ref="G210:H210"/>
    <mergeCell ref="A211:C211"/>
    <mergeCell ref="G211:H211"/>
    <mergeCell ref="A203:C203"/>
    <mergeCell ref="G203:H203"/>
    <mergeCell ref="A204:C204"/>
    <mergeCell ref="G204:H204"/>
    <mergeCell ref="G205:H205"/>
    <mergeCell ref="A206:C206"/>
    <mergeCell ref="G206:H206"/>
    <mergeCell ref="A200:C200"/>
    <mergeCell ref="G200:H200"/>
    <mergeCell ref="A201:C201"/>
    <mergeCell ref="G201:H201"/>
    <mergeCell ref="A202:C202"/>
    <mergeCell ref="G202:H202"/>
    <mergeCell ref="A197:C197"/>
    <mergeCell ref="G197:H197"/>
    <mergeCell ref="A198:C198"/>
    <mergeCell ref="G198:H198"/>
    <mergeCell ref="A199:C199"/>
    <mergeCell ref="G199:H199"/>
    <mergeCell ref="A194:C194"/>
    <mergeCell ref="G194:H194"/>
    <mergeCell ref="A195:C195"/>
    <mergeCell ref="G195:H195"/>
    <mergeCell ref="A196:C196"/>
    <mergeCell ref="G196:H196"/>
    <mergeCell ref="G189:H189"/>
    <mergeCell ref="A190:C190"/>
    <mergeCell ref="G190:H190"/>
    <mergeCell ref="A191:C191"/>
    <mergeCell ref="G191:H191"/>
    <mergeCell ref="A193:H193"/>
    <mergeCell ref="A186:C186"/>
    <mergeCell ref="G186:H186"/>
    <mergeCell ref="A187:C187"/>
    <mergeCell ref="G187:H187"/>
    <mergeCell ref="A188:C188"/>
    <mergeCell ref="G188:H188"/>
    <mergeCell ref="A183:C183"/>
    <mergeCell ref="G183:H183"/>
    <mergeCell ref="A184:C184"/>
    <mergeCell ref="G184:H184"/>
    <mergeCell ref="A185:C185"/>
    <mergeCell ref="G185:H185"/>
    <mergeCell ref="A180:C180"/>
    <mergeCell ref="G180:H180"/>
    <mergeCell ref="A181:C181"/>
    <mergeCell ref="G181:H181"/>
    <mergeCell ref="A182:C182"/>
    <mergeCell ref="G182:H182"/>
    <mergeCell ref="A176:H176"/>
    <mergeCell ref="A177:C177"/>
    <mergeCell ref="G177:H177"/>
    <mergeCell ref="A178:C178"/>
    <mergeCell ref="G178:H178"/>
    <mergeCell ref="A179:C179"/>
    <mergeCell ref="G179:H179"/>
    <mergeCell ref="A171:C171"/>
    <mergeCell ref="G171:H171"/>
    <mergeCell ref="G172:H172"/>
    <mergeCell ref="A173:C173"/>
    <mergeCell ref="G173:H173"/>
    <mergeCell ref="A174:C174"/>
    <mergeCell ref="G174:H174"/>
    <mergeCell ref="A168:C168"/>
    <mergeCell ref="G168:H168"/>
    <mergeCell ref="A169:C169"/>
    <mergeCell ref="G169:H169"/>
    <mergeCell ref="A170:C170"/>
    <mergeCell ref="G170:H170"/>
    <mergeCell ref="A165:C165"/>
    <mergeCell ref="G165:H165"/>
    <mergeCell ref="A166:C166"/>
    <mergeCell ref="G166:H166"/>
    <mergeCell ref="A167:C167"/>
    <mergeCell ref="G167:H167"/>
    <mergeCell ref="A162:C162"/>
    <mergeCell ref="G162:H162"/>
    <mergeCell ref="A163:C163"/>
    <mergeCell ref="G163:H163"/>
    <mergeCell ref="A164:C164"/>
    <mergeCell ref="G164:H164"/>
    <mergeCell ref="A157:C157"/>
    <mergeCell ref="G157:H157"/>
    <mergeCell ref="A159:H159"/>
    <mergeCell ref="A160:C160"/>
    <mergeCell ref="G160:H160"/>
    <mergeCell ref="A161:C161"/>
    <mergeCell ref="G161:H161"/>
    <mergeCell ref="A153:C153"/>
    <mergeCell ref="G153:H153"/>
    <mergeCell ref="A154:C154"/>
    <mergeCell ref="G154:H154"/>
    <mergeCell ref="G155:H155"/>
    <mergeCell ref="A156:C156"/>
    <mergeCell ref="G156:H156"/>
    <mergeCell ref="A150:C150"/>
    <mergeCell ref="G150:H150"/>
    <mergeCell ref="A151:C151"/>
    <mergeCell ref="G151:H151"/>
    <mergeCell ref="A152:C152"/>
    <mergeCell ref="G152:H152"/>
    <mergeCell ref="A147:C147"/>
    <mergeCell ref="G147:H147"/>
    <mergeCell ref="A148:C148"/>
    <mergeCell ref="G148:H148"/>
    <mergeCell ref="A149:C149"/>
    <mergeCell ref="G149:H149"/>
    <mergeCell ref="A144:C144"/>
    <mergeCell ref="G144:H144"/>
    <mergeCell ref="A145:C145"/>
    <mergeCell ref="G145:H145"/>
    <mergeCell ref="A146:C146"/>
    <mergeCell ref="G146:H146"/>
    <mergeCell ref="A137:H137"/>
    <mergeCell ref="I137:J137"/>
    <mergeCell ref="A138:H138"/>
    <mergeCell ref="I138:J138"/>
    <mergeCell ref="A142:H142"/>
    <mergeCell ref="A143:C143"/>
    <mergeCell ref="G143:H143"/>
    <mergeCell ref="A134:D134"/>
    <mergeCell ref="E134:F134"/>
    <mergeCell ref="A135:D135"/>
    <mergeCell ref="E135:F135"/>
    <mergeCell ref="I135:J135"/>
    <mergeCell ref="A136:D136"/>
    <mergeCell ref="E136:F136"/>
    <mergeCell ref="I136:J136"/>
    <mergeCell ref="A131:D131"/>
    <mergeCell ref="E131:F131"/>
    <mergeCell ref="I131:J131"/>
    <mergeCell ref="A133:D133"/>
    <mergeCell ref="E133:F133"/>
    <mergeCell ref="I133:J133"/>
    <mergeCell ref="E132:F132"/>
    <mergeCell ref="A129:D129"/>
    <mergeCell ref="E129:F129"/>
    <mergeCell ref="I129:J129"/>
    <mergeCell ref="A130:D130"/>
    <mergeCell ref="E130:F130"/>
    <mergeCell ref="I130:J130"/>
    <mergeCell ref="A127:D127"/>
    <mergeCell ref="E127:F127"/>
    <mergeCell ref="I127:J127"/>
    <mergeCell ref="A128:D128"/>
    <mergeCell ref="E128:F128"/>
    <mergeCell ref="I128:J128"/>
    <mergeCell ref="A125:D125"/>
    <mergeCell ref="E125:F125"/>
    <mergeCell ref="I125:J125"/>
    <mergeCell ref="A126:D126"/>
    <mergeCell ref="E126:F126"/>
    <mergeCell ref="I126:J126"/>
    <mergeCell ref="A123:D123"/>
    <mergeCell ref="E123:F123"/>
    <mergeCell ref="I123:J123"/>
    <mergeCell ref="A124:D124"/>
    <mergeCell ref="E124:F124"/>
    <mergeCell ref="I124:J124"/>
    <mergeCell ref="A120:D120"/>
    <mergeCell ref="E120:F120"/>
    <mergeCell ref="I120:J120"/>
    <mergeCell ref="A121:H121"/>
    <mergeCell ref="I121:J121"/>
    <mergeCell ref="A122:F122"/>
    <mergeCell ref="H122:J122"/>
    <mergeCell ref="A118:D118"/>
    <mergeCell ref="E118:F118"/>
    <mergeCell ref="I118:J118"/>
    <mergeCell ref="A119:D119"/>
    <mergeCell ref="E119:F119"/>
    <mergeCell ref="I119:J119"/>
    <mergeCell ref="A116:D116"/>
    <mergeCell ref="E116:F116"/>
    <mergeCell ref="I116:J116"/>
    <mergeCell ref="A117:D117"/>
    <mergeCell ref="E117:F117"/>
    <mergeCell ref="I117:J117"/>
    <mergeCell ref="A114:D114"/>
    <mergeCell ref="E114:F114"/>
    <mergeCell ref="I114:J114"/>
    <mergeCell ref="A115:D115"/>
    <mergeCell ref="E115:F115"/>
    <mergeCell ref="I115:J115"/>
    <mergeCell ref="A112:D112"/>
    <mergeCell ref="E112:F112"/>
    <mergeCell ref="I112:J112"/>
    <mergeCell ref="A113:D113"/>
    <mergeCell ref="E113:F113"/>
    <mergeCell ref="I113:J113"/>
    <mergeCell ref="A110:D110"/>
    <mergeCell ref="E110:F110"/>
    <mergeCell ref="I110:J110"/>
    <mergeCell ref="A111:D111"/>
    <mergeCell ref="E111:F111"/>
    <mergeCell ref="I111:J111"/>
    <mergeCell ref="A108:D108"/>
    <mergeCell ref="E108:F108"/>
    <mergeCell ref="I108:J108"/>
    <mergeCell ref="A109:D109"/>
    <mergeCell ref="E109:F109"/>
    <mergeCell ref="I109:J109"/>
    <mergeCell ref="A105:D105"/>
    <mergeCell ref="E105:F105"/>
    <mergeCell ref="I105:J105"/>
    <mergeCell ref="A106:H106"/>
    <mergeCell ref="I106:J106"/>
    <mergeCell ref="A107:F107"/>
    <mergeCell ref="H107:J107"/>
    <mergeCell ref="A103:D103"/>
    <mergeCell ref="E103:F103"/>
    <mergeCell ref="I103:J103"/>
    <mergeCell ref="A104:D104"/>
    <mergeCell ref="E104:F104"/>
    <mergeCell ref="I104:J104"/>
    <mergeCell ref="A101:D101"/>
    <mergeCell ref="E101:F101"/>
    <mergeCell ref="I101:J101"/>
    <mergeCell ref="A102:D102"/>
    <mergeCell ref="E102:F102"/>
    <mergeCell ref="I102:J102"/>
    <mergeCell ref="A99:D99"/>
    <mergeCell ref="E99:F99"/>
    <mergeCell ref="I99:J99"/>
    <mergeCell ref="A100:D100"/>
    <mergeCell ref="E100:F100"/>
    <mergeCell ref="I100:J100"/>
    <mergeCell ref="A97:D97"/>
    <mergeCell ref="E97:F97"/>
    <mergeCell ref="I97:J97"/>
    <mergeCell ref="A98:D98"/>
    <mergeCell ref="E98:F98"/>
    <mergeCell ref="I98:J98"/>
    <mergeCell ref="A95:D95"/>
    <mergeCell ref="E95:F95"/>
    <mergeCell ref="I95:J95"/>
    <mergeCell ref="A96:D96"/>
    <mergeCell ref="E96:F96"/>
    <mergeCell ref="I96:J96"/>
    <mergeCell ref="A93:D93"/>
    <mergeCell ref="E93:F93"/>
    <mergeCell ref="I93:J93"/>
    <mergeCell ref="A94:D94"/>
    <mergeCell ref="E94:F94"/>
    <mergeCell ref="I94:J94"/>
    <mergeCell ref="A90:D90"/>
    <mergeCell ref="E90:F90"/>
    <mergeCell ref="I90:J90"/>
    <mergeCell ref="A91:H91"/>
    <mergeCell ref="I91:J91"/>
    <mergeCell ref="A92:F92"/>
    <mergeCell ref="H92:J92"/>
    <mergeCell ref="A88:D88"/>
    <mergeCell ref="E88:F88"/>
    <mergeCell ref="I88:J88"/>
    <mergeCell ref="A89:D89"/>
    <mergeCell ref="E89:F89"/>
    <mergeCell ref="I89:J89"/>
    <mergeCell ref="A86:D86"/>
    <mergeCell ref="E86:F86"/>
    <mergeCell ref="I86:J86"/>
    <mergeCell ref="A87:D87"/>
    <mergeCell ref="E87:F87"/>
    <mergeCell ref="I87:J87"/>
    <mergeCell ref="A84:D84"/>
    <mergeCell ref="E84:F84"/>
    <mergeCell ref="I84:J84"/>
    <mergeCell ref="A85:D85"/>
    <mergeCell ref="E85:F85"/>
    <mergeCell ref="I85:J85"/>
    <mergeCell ref="A82:D82"/>
    <mergeCell ref="E82:F82"/>
    <mergeCell ref="I82:J82"/>
    <mergeCell ref="A83:D83"/>
    <mergeCell ref="E83:F83"/>
    <mergeCell ref="I83:J83"/>
    <mergeCell ref="A80:D80"/>
    <mergeCell ref="E80:F80"/>
    <mergeCell ref="I80:J80"/>
    <mergeCell ref="A81:D81"/>
    <mergeCell ref="E81:F81"/>
    <mergeCell ref="I81:J81"/>
    <mergeCell ref="A78:D78"/>
    <mergeCell ref="E78:F78"/>
    <mergeCell ref="I78:J78"/>
    <mergeCell ref="A79:D79"/>
    <mergeCell ref="E79:F79"/>
    <mergeCell ref="I79:J79"/>
    <mergeCell ref="A75:D75"/>
    <mergeCell ref="E75:F75"/>
    <mergeCell ref="I75:J75"/>
    <mergeCell ref="A76:H76"/>
    <mergeCell ref="I76:J76"/>
    <mergeCell ref="A77:F77"/>
    <mergeCell ref="H77:J77"/>
    <mergeCell ref="A73:D73"/>
    <mergeCell ref="E73:F73"/>
    <mergeCell ref="I73:J73"/>
    <mergeCell ref="A74:D74"/>
    <mergeCell ref="E74:F74"/>
    <mergeCell ref="I74:J74"/>
    <mergeCell ref="A71:D71"/>
    <mergeCell ref="E71:F71"/>
    <mergeCell ref="I71:J71"/>
    <mergeCell ref="A72:D72"/>
    <mergeCell ref="E72:F72"/>
    <mergeCell ref="I72:J72"/>
    <mergeCell ref="A69:D69"/>
    <mergeCell ref="E69:F69"/>
    <mergeCell ref="I69:J69"/>
    <mergeCell ref="A70:D70"/>
    <mergeCell ref="E70:F70"/>
    <mergeCell ref="I70:J70"/>
    <mergeCell ref="A67:D67"/>
    <mergeCell ref="E67:F67"/>
    <mergeCell ref="I67:J67"/>
    <mergeCell ref="A68:D68"/>
    <mergeCell ref="E68:F68"/>
    <mergeCell ref="I68:J68"/>
    <mergeCell ref="A65:D65"/>
    <mergeCell ref="E65:F65"/>
    <mergeCell ref="I65:J65"/>
    <mergeCell ref="A66:D66"/>
    <mergeCell ref="E66:F66"/>
    <mergeCell ref="I66:J66"/>
    <mergeCell ref="A63:D63"/>
    <mergeCell ref="E63:F63"/>
    <mergeCell ref="I63:J63"/>
    <mergeCell ref="A64:D64"/>
    <mergeCell ref="E64:F64"/>
    <mergeCell ref="I64:J64"/>
    <mergeCell ref="A60:D60"/>
    <mergeCell ref="E60:F60"/>
    <mergeCell ref="I60:J60"/>
    <mergeCell ref="A61:H61"/>
    <mergeCell ref="I61:J61"/>
    <mergeCell ref="A62:F62"/>
    <mergeCell ref="H62:J62"/>
    <mergeCell ref="A58:D58"/>
    <mergeCell ref="E58:F58"/>
    <mergeCell ref="I58:J58"/>
    <mergeCell ref="A59:D59"/>
    <mergeCell ref="E59:F59"/>
    <mergeCell ref="I59:J59"/>
    <mergeCell ref="A55:D55"/>
    <mergeCell ref="E55:F55"/>
    <mergeCell ref="I55:J55"/>
    <mergeCell ref="A57:D57"/>
    <mergeCell ref="E57:F57"/>
    <mergeCell ref="I57:J57"/>
    <mergeCell ref="E56:F56"/>
    <mergeCell ref="A53:D53"/>
    <mergeCell ref="E53:F53"/>
    <mergeCell ref="I53:J53"/>
    <mergeCell ref="A54:D54"/>
    <mergeCell ref="E54:F54"/>
    <mergeCell ref="I54:J54"/>
    <mergeCell ref="A51:D51"/>
    <mergeCell ref="E51:F51"/>
    <mergeCell ref="I51:J51"/>
    <mergeCell ref="A52:D52"/>
    <mergeCell ref="E52:F52"/>
    <mergeCell ref="I52:J52"/>
    <mergeCell ref="A49:D49"/>
    <mergeCell ref="E49:F49"/>
    <mergeCell ref="I49:J49"/>
    <mergeCell ref="A50:D50"/>
    <mergeCell ref="E50:F50"/>
    <mergeCell ref="I50:J50"/>
    <mergeCell ref="A47:D47"/>
    <mergeCell ref="E47:F47"/>
    <mergeCell ref="I47:J47"/>
    <mergeCell ref="A48:D48"/>
    <mergeCell ref="E48:F48"/>
    <mergeCell ref="I48:J48"/>
    <mergeCell ref="A44:D44"/>
    <mergeCell ref="E44:F44"/>
    <mergeCell ref="I44:J44"/>
    <mergeCell ref="A45:H45"/>
    <mergeCell ref="I45:J45"/>
    <mergeCell ref="A46:F46"/>
    <mergeCell ref="H46:J46"/>
    <mergeCell ref="A42:D42"/>
    <mergeCell ref="E42:F42"/>
    <mergeCell ref="I42:J42"/>
    <mergeCell ref="A43:D43"/>
    <mergeCell ref="E43:F43"/>
    <mergeCell ref="I43:J43"/>
    <mergeCell ref="A39:D39"/>
    <mergeCell ref="E39:F39"/>
    <mergeCell ref="I39:J39"/>
    <mergeCell ref="A41:D41"/>
    <mergeCell ref="E41:F41"/>
    <mergeCell ref="I41:J41"/>
    <mergeCell ref="A37:D37"/>
    <mergeCell ref="E37:F37"/>
    <mergeCell ref="I37:J37"/>
    <mergeCell ref="A38:D38"/>
    <mergeCell ref="E38:F38"/>
    <mergeCell ref="I38:J38"/>
    <mergeCell ref="A35:D35"/>
    <mergeCell ref="E35:F35"/>
    <mergeCell ref="I35:J35"/>
    <mergeCell ref="A36:D36"/>
    <mergeCell ref="E36:F36"/>
    <mergeCell ref="I36:J36"/>
    <mergeCell ref="A33:D33"/>
    <mergeCell ref="E33:F33"/>
    <mergeCell ref="I33:J33"/>
    <mergeCell ref="A34:D34"/>
    <mergeCell ref="E34:F34"/>
    <mergeCell ref="I34:J34"/>
    <mergeCell ref="H30:J30"/>
    <mergeCell ref="A31:D31"/>
    <mergeCell ref="E31:F31"/>
    <mergeCell ref="I31:J31"/>
    <mergeCell ref="A32:D32"/>
    <mergeCell ref="E32:F32"/>
    <mergeCell ref="I32:J32"/>
    <mergeCell ref="E26:F26"/>
    <mergeCell ref="I26:J26"/>
    <mergeCell ref="A27:D27"/>
    <mergeCell ref="E27:F27"/>
    <mergeCell ref="I27:J27"/>
    <mergeCell ref="A28:D28"/>
    <mergeCell ref="E28:F28"/>
    <mergeCell ref="I28:J28"/>
    <mergeCell ref="A22:D22"/>
    <mergeCell ref="E22:F22"/>
    <mergeCell ref="I22:J22"/>
    <mergeCell ref="A23:D23"/>
    <mergeCell ref="E23:F23"/>
    <mergeCell ref="I23:J23"/>
    <mergeCell ref="A19:D19"/>
    <mergeCell ref="E19:F19"/>
    <mergeCell ref="I19:J19"/>
    <mergeCell ref="E20:F20"/>
    <mergeCell ref="I20:J20"/>
    <mergeCell ref="A21:D21"/>
    <mergeCell ref="E21:F21"/>
    <mergeCell ref="I21:J21"/>
    <mergeCell ref="E18:F18"/>
    <mergeCell ref="I18:J18"/>
    <mergeCell ref="I11:J11"/>
    <mergeCell ref="I12:J12"/>
    <mergeCell ref="A5:J5"/>
    <mergeCell ref="A7:B8"/>
    <mergeCell ref="C7:J8"/>
    <mergeCell ref="A9:B9"/>
    <mergeCell ref="C9:J9"/>
    <mergeCell ref="A10:B10"/>
    <mergeCell ref="C10:J10"/>
    <mergeCell ref="A358:F358"/>
    <mergeCell ref="G358:H358"/>
    <mergeCell ref="I13:J13"/>
    <mergeCell ref="A15:F15"/>
    <mergeCell ref="A14:J14"/>
    <mergeCell ref="A30:F30"/>
    <mergeCell ref="A141:J141"/>
    <mergeCell ref="A16:D16"/>
    <mergeCell ref="E16:F16"/>
    <mergeCell ref="I16:J16"/>
    <mergeCell ref="E24:F24"/>
    <mergeCell ref="I24:J24"/>
    <mergeCell ref="E40:F40"/>
    <mergeCell ref="I40:J40"/>
    <mergeCell ref="A29:H29"/>
    <mergeCell ref="I29:J29"/>
    <mergeCell ref="A25:D25"/>
    <mergeCell ref="E25:F25"/>
    <mergeCell ref="I25:J25"/>
    <mergeCell ref="A26:D26"/>
    <mergeCell ref="A17:D17"/>
    <mergeCell ref="E17:F17"/>
    <mergeCell ref="I17:J17"/>
    <mergeCell ref="A18:D18"/>
  </mergeCells>
  <pageMargins left="0.70866141732283472" right="0.31496062992125984" top="0.78740157480314965" bottom="0.78740157480314965" header="0.31496062992125984" footer="0.31496062992125984"/>
  <pageSetup paperSize="9" scale="79" orientation="portrait" r:id="rId1"/>
  <rowBreaks count="3" manualBreakCount="3">
    <brk id="45" max="9" man="1"/>
    <brk id="157" max="9" man="1"/>
    <brk id="17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0">
    <tabColor rgb="FF00B050"/>
  </sheetPr>
  <dimension ref="A1:R372"/>
  <sheetViews>
    <sheetView showGridLines="0" showZeros="0" view="pageBreakPreview" topLeftCell="A242" zoomScale="110" zoomScaleNormal="85" zoomScaleSheetLayoutView="110" workbookViewId="0">
      <selection activeCell="G279" sqref="G279"/>
    </sheetView>
  </sheetViews>
  <sheetFormatPr defaultRowHeight="12.75" x14ac:dyDescent="0.2"/>
  <cols>
    <col min="1" max="1" width="1.28515625" style="28" customWidth="1"/>
    <col min="2" max="2" width="26" style="54" customWidth="1"/>
    <col min="3" max="3" width="17.140625" style="54" customWidth="1"/>
    <col min="4" max="4" width="19" style="28" customWidth="1"/>
    <col min="5" max="6" width="18" style="28" customWidth="1"/>
    <col min="7" max="7" width="31" style="28" bestFit="1" customWidth="1"/>
    <col min="8" max="9" width="10.5703125" style="28" bestFit="1" customWidth="1"/>
    <col min="10" max="16384" width="9.140625" style="28"/>
  </cols>
  <sheetData>
    <row r="1" spans="1:10" x14ac:dyDescent="0.2">
      <c r="B1" s="313" t="s">
        <v>361</v>
      </c>
    </row>
    <row r="2" spans="1:10" x14ac:dyDescent="0.2">
      <c r="B2" s="279" t="s">
        <v>362</v>
      </c>
    </row>
    <row r="3" spans="1:10" ht="50.25" customHeight="1" x14ac:dyDescent="0.2"/>
    <row r="4" spans="1:10" x14ac:dyDescent="0.2">
      <c r="B4" s="748" t="s">
        <v>22</v>
      </c>
      <c r="C4" s="748"/>
      <c r="D4" s="748"/>
      <c r="E4" s="748"/>
      <c r="F4" s="748"/>
      <c r="G4" s="748"/>
    </row>
    <row r="5" spans="1:10" x14ac:dyDescent="0.2">
      <c r="B5" s="748" t="s">
        <v>23</v>
      </c>
      <c r="C5" s="748"/>
      <c r="D5" s="748"/>
      <c r="E5" s="748"/>
      <c r="F5" s="748"/>
      <c r="G5" s="748"/>
    </row>
    <row r="6" spans="1:10" ht="9" customHeight="1" x14ac:dyDescent="0.2">
      <c r="B6" s="30"/>
      <c r="C6" s="30"/>
      <c r="D6" s="30"/>
      <c r="E6" s="30"/>
      <c r="F6" s="30"/>
      <c r="G6" s="30"/>
    </row>
    <row r="7" spans="1:10" x14ac:dyDescent="0.2">
      <c r="B7" s="748" t="s">
        <v>92</v>
      </c>
      <c r="C7" s="748"/>
      <c r="D7" s="748"/>
      <c r="E7" s="748"/>
      <c r="F7" s="748"/>
      <c r="G7" s="748"/>
    </row>
    <row r="8" spans="1:10" ht="9.75" customHeight="1" thickBot="1" x14ac:dyDescent="0.25">
      <c r="A8" s="40"/>
      <c r="B8" s="40"/>
      <c r="C8" s="40"/>
      <c r="D8" s="40"/>
      <c r="E8" s="40"/>
      <c r="F8" s="40"/>
      <c r="G8" s="40"/>
    </row>
    <row r="9" spans="1:10" ht="13.5" thickTop="1" x14ac:dyDescent="0.2">
      <c r="A9" s="45" t="s">
        <v>93</v>
      </c>
      <c r="B9" s="45"/>
      <c r="C9" s="45"/>
      <c r="D9" s="45"/>
      <c r="E9" s="45"/>
      <c r="F9" s="45"/>
      <c r="G9" s="45"/>
    </row>
    <row r="10" spans="1:10" x14ac:dyDescent="0.2">
      <c r="A10" s="40" t="s">
        <v>300</v>
      </c>
      <c r="B10" s="40"/>
      <c r="C10" s="40"/>
      <c r="D10" s="40"/>
      <c r="E10" s="40"/>
      <c r="F10" s="40"/>
      <c r="G10" s="316">
        <f ca="1">NOW()</f>
        <v>43551.670944791666</v>
      </c>
    </row>
    <row r="11" spans="1:10" ht="5.25" customHeight="1" thickBot="1" x14ac:dyDescent="0.25">
      <c r="A11" s="46"/>
      <c r="B11" s="47"/>
      <c r="C11" s="47"/>
      <c r="D11" s="47"/>
      <c r="E11" s="47"/>
      <c r="F11" s="47"/>
      <c r="G11" s="47"/>
    </row>
    <row r="12" spans="1:10" ht="11.25" customHeight="1" thickTop="1" x14ac:dyDescent="0.2">
      <c r="A12" s="48"/>
      <c r="B12" s="40"/>
      <c r="C12" s="40"/>
      <c r="D12" s="33"/>
      <c r="E12" s="33"/>
      <c r="F12" s="33"/>
      <c r="G12" s="33"/>
    </row>
    <row r="13" spans="1:10" x14ac:dyDescent="0.2">
      <c r="A13" s="48"/>
      <c r="B13" s="29" t="s">
        <v>94</v>
      </c>
      <c r="C13" s="32">
        <v>26.08</v>
      </c>
      <c r="D13" s="33"/>
      <c r="E13" s="33"/>
      <c r="F13" s="49"/>
      <c r="G13" s="33"/>
    </row>
    <row r="14" spans="1:10" x14ac:dyDescent="0.2">
      <c r="A14" s="48"/>
      <c r="B14" s="29" t="s">
        <v>95</v>
      </c>
      <c r="C14" s="32">
        <v>7.33</v>
      </c>
      <c r="D14" s="33"/>
      <c r="E14" s="33"/>
      <c r="F14" s="33"/>
      <c r="G14" s="33"/>
    </row>
    <row r="15" spans="1:10" x14ac:dyDescent="0.2">
      <c r="A15" s="48"/>
      <c r="B15" s="50" t="s">
        <v>182</v>
      </c>
      <c r="C15" s="51">
        <v>7800</v>
      </c>
      <c r="D15" s="52" t="s">
        <v>96</v>
      </c>
      <c r="E15" s="33"/>
      <c r="F15" s="33"/>
      <c r="G15" s="33"/>
    </row>
    <row r="16" spans="1:10" x14ac:dyDescent="0.2">
      <c r="A16" s="48"/>
      <c r="D16" s="55"/>
      <c r="E16" s="56"/>
      <c r="F16" s="57"/>
      <c r="G16" s="56"/>
      <c r="J16" s="536" t="s">
        <v>530</v>
      </c>
    </row>
    <row r="17" spans="1:10" x14ac:dyDescent="0.2">
      <c r="A17" s="48"/>
      <c r="B17" s="59" t="s">
        <v>183</v>
      </c>
      <c r="C17" s="60"/>
      <c r="D17" s="70"/>
      <c r="E17" s="56"/>
      <c r="F17" s="57"/>
      <c r="G17" s="56"/>
      <c r="J17" s="536">
        <v>1.0143</v>
      </c>
    </row>
    <row r="18" spans="1:10" x14ac:dyDescent="0.2">
      <c r="A18" s="48"/>
      <c r="B18" s="62" t="s">
        <v>173</v>
      </c>
      <c r="C18" s="63"/>
      <c r="D18" s="78">
        <v>1</v>
      </c>
      <c r="E18" s="56"/>
      <c r="F18" s="57"/>
      <c r="G18" s="56"/>
    </row>
    <row r="19" spans="1:10" x14ac:dyDescent="0.2">
      <c r="A19" s="48"/>
      <c r="B19" s="66" t="s">
        <v>159</v>
      </c>
      <c r="C19" s="60"/>
      <c r="D19" s="77">
        <v>22</v>
      </c>
      <c r="E19" s="56"/>
      <c r="F19" s="57"/>
      <c r="G19" s="56"/>
    </row>
    <row r="20" spans="1:10" x14ac:dyDescent="0.2">
      <c r="A20" s="48"/>
      <c r="B20" s="66" t="s">
        <v>11</v>
      </c>
      <c r="C20" s="60"/>
      <c r="D20" s="228">
        <v>0.1</v>
      </c>
      <c r="E20" s="226">
        <v>0.1</v>
      </c>
      <c r="F20" s="57"/>
      <c r="G20" s="56"/>
    </row>
    <row r="21" spans="1:10" x14ac:dyDescent="0.2">
      <c r="A21" s="48"/>
      <c r="B21" s="62" t="s">
        <v>174</v>
      </c>
      <c r="C21" s="63"/>
      <c r="D21" s="217">
        <v>1</v>
      </c>
      <c r="E21" s="56"/>
      <c r="F21" s="57"/>
      <c r="G21" s="56"/>
    </row>
    <row r="22" spans="1:10" x14ac:dyDescent="0.2">
      <c r="A22" s="48"/>
      <c r="B22" s="66" t="s">
        <v>184</v>
      </c>
      <c r="C22" s="60"/>
      <c r="D22" s="216">
        <v>12</v>
      </c>
      <c r="E22" s="69"/>
      <c r="F22" s="57"/>
      <c r="G22" s="56"/>
    </row>
    <row r="23" spans="1:10" x14ac:dyDescent="0.2">
      <c r="A23" s="48"/>
      <c r="B23" s="66" t="s">
        <v>11</v>
      </c>
      <c r="C23" s="60"/>
      <c r="D23" s="228">
        <v>0.1</v>
      </c>
      <c r="E23" s="226">
        <v>0.1</v>
      </c>
      <c r="F23" s="57"/>
      <c r="G23" s="56"/>
    </row>
    <row r="24" spans="1:10" x14ac:dyDescent="0.2">
      <c r="A24" s="48"/>
      <c r="B24" s="74"/>
      <c r="C24" s="68"/>
      <c r="D24" s="75"/>
      <c r="E24" s="67"/>
      <c r="F24" s="57"/>
      <c r="G24" s="71"/>
    </row>
    <row r="25" spans="1:10" x14ac:dyDescent="0.2">
      <c r="A25" s="48"/>
      <c r="B25" s="62" t="s">
        <v>185</v>
      </c>
      <c r="C25" s="60"/>
      <c r="D25" s="229">
        <v>200</v>
      </c>
      <c r="E25" s="230"/>
      <c r="F25" s="57"/>
      <c r="G25" s="56"/>
    </row>
    <row r="26" spans="1:10" x14ac:dyDescent="0.2">
      <c r="A26" s="48"/>
      <c r="B26" s="39"/>
      <c r="D26" s="79"/>
      <c r="E26" s="56"/>
      <c r="F26" s="57"/>
      <c r="G26" s="56"/>
    </row>
    <row r="27" spans="1:10" x14ac:dyDescent="0.2">
      <c r="A27" s="231" t="s">
        <v>186</v>
      </c>
      <c r="B27" s="81"/>
      <c r="C27" s="81"/>
      <c r="D27" s="232"/>
      <c r="E27" s="232"/>
      <c r="F27" s="232"/>
      <c r="G27" s="233"/>
    </row>
    <row r="28" spans="1:10" x14ac:dyDescent="0.2">
      <c r="A28" s="86"/>
      <c r="B28" s="234"/>
      <c r="C28" s="34"/>
      <c r="D28" s="235"/>
      <c r="E28" s="235"/>
      <c r="F28" s="235"/>
      <c r="G28" s="235"/>
    </row>
    <row r="29" spans="1:10" x14ac:dyDescent="0.2">
      <c r="A29" s="38"/>
      <c r="B29" s="752" t="s">
        <v>0</v>
      </c>
      <c r="C29" s="753"/>
      <c r="D29" s="44" t="s">
        <v>1</v>
      </c>
      <c r="E29" s="44" t="s">
        <v>2</v>
      </c>
      <c r="F29" s="44" t="s">
        <v>187</v>
      </c>
      <c r="G29" s="44" t="s">
        <v>86</v>
      </c>
    </row>
    <row r="30" spans="1:10" x14ac:dyDescent="0.2">
      <c r="A30" s="38"/>
      <c r="B30" s="754" t="s">
        <v>188</v>
      </c>
      <c r="C30" s="755"/>
      <c r="D30" s="119" t="s">
        <v>181</v>
      </c>
      <c r="E30" s="119">
        <v>1</v>
      </c>
      <c r="F30" s="948">
        <f>10000*$J$17</f>
        <v>10143</v>
      </c>
      <c r="G30" s="236">
        <f>F30*E30</f>
        <v>10143</v>
      </c>
    </row>
    <row r="31" spans="1:10" x14ac:dyDescent="0.2">
      <c r="A31" s="38"/>
      <c r="B31" s="754" t="s">
        <v>189</v>
      </c>
      <c r="C31" s="755"/>
      <c r="D31" s="227" t="s">
        <v>181</v>
      </c>
      <c r="E31" s="227">
        <v>1</v>
      </c>
      <c r="F31" s="948">
        <f>5000*$J$17</f>
        <v>5071.5</v>
      </c>
      <c r="G31" s="236">
        <f>F31*E31</f>
        <v>5071.5</v>
      </c>
    </row>
    <row r="32" spans="1:10" x14ac:dyDescent="0.2">
      <c r="A32" s="38"/>
      <c r="B32" s="102"/>
      <c r="C32" s="102"/>
      <c r="D32" s="128"/>
      <c r="E32" s="38"/>
      <c r="F32" s="90" t="s">
        <v>86</v>
      </c>
      <c r="G32" s="127">
        <f>G30+G31</f>
        <v>15214.5</v>
      </c>
    </row>
    <row r="33" spans="1:7" x14ac:dyDescent="0.2">
      <c r="A33" s="102"/>
      <c r="B33" s="128"/>
      <c r="C33" s="38"/>
      <c r="D33" s="97"/>
      <c r="E33" s="38"/>
    </row>
    <row r="34" spans="1:7" x14ac:dyDescent="0.2">
      <c r="A34" s="231" t="s">
        <v>190</v>
      </c>
      <c r="B34" s="81"/>
      <c r="C34" s="81"/>
      <c r="D34" s="232"/>
      <c r="E34" s="232"/>
      <c r="F34" s="232"/>
      <c r="G34" s="233"/>
    </row>
    <row r="35" spans="1:7" x14ac:dyDescent="0.2">
      <c r="A35" s="86"/>
      <c r="B35" s="234"/>
      <c r="C35" s="34"/>
      <c r="D35" s="235"/>
      <c r="E35" s="235"/>
      <c r="F35" s="235"/>
      <c r="G35" s="235"/>
    </row>
    <row r="36" spans="1:7" x14ac:dyDescent="0.2">
      <c r="A36" s="38"/>
      <c r="B36" s="752" t="s">
        <v>0</v>
      </c>
      <c r="C36" s="753"/>
      <c r="D36" s="44" t="s">
        <v>1</v>
      </c>
      <c r="E36" s="44" t="s">
        <v>2</v>
      </c>
      <c r="F36" s="44" t="s">
        <v>187</v>
      </c>
      <c r="G36" s="44" t="s">
        <v>86</v>
      </c>
    </row>
    <row r="37" spans="1:7" x14ac:dyDescent="0.2">
      <c r="A37" s="38"/>
      <c r="B37" s="754" t="s">
        <v>88</v>
      </c>
      <c r="C37" s="755"/>
      <c r="D37" s="119" t="s">
        <v>181</v>
      </c>
      <c r="E37" s="119">
        <v>1</v>
      </c>
      <c r="F37" s="948">
        <f>2000*$J$17</f>
        <v>2028.6</v>
      </c>
      <c r="G37" s="236">
        <f>F37*E37</f>
        <v>2028.6</v>
      </c>
    </row>
    <row r="38" spans="1:7" x14ac:dyDescent="0.2">
      <c r="A38" s="38"/>
      <c r="B38" s="754" t="s">
        <v>87</v>
      </c>
      <c r="C38" s="755"/>
      <c r="D38" s="227" t="s">
        <v>181</v>
      </c>
      <c r="E38" s="227">
        <v>1</v>
      </c>
      <c r="F38" s="948">
        <f>50000*$J$17</f>
        <v>50715</v>
      </c>
      <c r="G38" s="236">
        <f>F38*E38</f>
        <v>50715</v>
      </c>
    </row>
    <row r="39" spans="1:7" x14ac:dyDescent="0.2">
      <c r="A39" s="38"/>
      <c r="B39" s="102"/>
      <c r="C39" s="102"/>
      <c r="D39" s="128"/>
      <c r="E39" s="38"/>
      <c r="F39" s="90" t="s">
        <v>86</v>
      </c>
      <c r="G39" s="127">
        <f>G37+G38</f>
        <v>52743.6</v>
      </c>
    </row>
    <row r="40" spans="1:7" x14ac:dyDescent="0.2">
      <c r="A40" s="102"/>
      <c r="B40" s="128"/>
      <c r="C40" s="38"/>
      <c r="D40" s="97"/>
      <c r="E40" s="38"/>
    </row>
    <row r="41" spans="1:7" x14ac:dyDescent="0.2">
      <c r="A41" s="80" t="s">
        <v>103</v>
      </c>
      <c r="B41" s="81"/>
      <c r="C41" s="82"/>
      <c r="D41" s="83"/>
      <c r="E41" s="84"/>
      <c r="F41" s="83"/>
      <c r="G41" s="85"/>
    </row>
    <row r="42" spans="1:7" ht="10.5" customHeight="1" x14ac:dyDescent="0.25">
      <c r="A42" s="40"/>
      <c r="B42" s="195"/>
      <c r="C42" s="195"/>
      <c r="D42" s="195"/>
      <c r="E42" s="196"/>
    </row>
    <row r="43" spans="1:7" x14ac:dyDescent="0.2">
      <c r="A43" s="86"/>
      <c r="B43" s="98" t="s">
        <v>282</v>
      </c>
      <c r="C43" s="99"/>
      <c r="D43" s="100"/>
      <c r="E43" s="100"/>
      <c r="F43" s="100"/>
      <c r="G43" s="101"/>
    </row>
    <row r="44" spans="1:7" ht="11.25" customHeight="1" x14ac:dyDescent="0.2">
      <c r="A44" s="38"/>
      <c r="B44" s="41"/>
      <c r="C44" s="41"/>
      <c r="D44" s="27"/>
      <c r="E44" s="27"/>
      <c r="F44" s="21"/>
      <c r="G44" s="21"/>
    </row>
    <row r="45" spans="1:7" x14ac:dyDescent="0.2">
      <c r="A45" s="38"/>
      <c r="B45" s="744" t="s">
        <v>104</v>
      </c>
      <c r="C45" s="745"/>
      <c r="D45" s="745"/>
      <c r="E45" s="745"/>
      <c r="F45" s="745"/>
      <c r="G45" s="746"/>
    </row>
    <row r="46" spans="1:7" x14ac:dyDescent="0.2">
      <c r="A46" s="38"/>
      <c r="B46" s="118" t="s">
        <v>105</v>
      </c>
      <c r="C46" s="240">
        <f>'CAMINHÕES-MAQUINAS-VEÍCULOS'!D10</f>
        <v>201715.19</v>
      </c>
      <c r="D46" s="119" t="s">
        <v>106</v>
      </c>
      <c r="E46" s="119" t="s">
        <v>107</v>
      </c>
      <c r="F46" s="119" t="s">
        <v>48</v>
      </c>
      <c r="G46" s="119" t="s">
        <v>108</v>
      </c>
    </row>
    <row r="47" spans="1:7" x14ac:dyDescent="0.2">
      <c r="A47" s="38"/>
      <c r="B47" s="118" t="s">
        <v>109</v>
      </c>
      <c r="C47" s="179">
        <f>'CAMINHÕES-MAQUINAS-VEÍCULOS'!D11</f>
        <v>30559.439999999999</v>
      </c>
      <c r="D47" s="120"/>
      <c r="E47" s="120"/>
      <c r="F47" s="120"/>
      <c r="G47" s="120"/>
    </row>
    <row r="48" spans="1:7" x14ac:dyDescent="0.2">
      <c r="A48" s="38"/>
      <c r="B48" s="118" t="s">
        <v>110</v>
      </c>
      <c r="C48" s="121">
        <f>E91+E95</f>
        <v>8154.9719999999998</v>
      </c>
      <c r="D48" s="122">
        <f>(C46+C47)-C48</f>
        <v>224119.658</v>
      </c>
      <c r="E48" s="123">
        <v>0.35</v>
      </c>
      <c r="F48" s="124">
        <v>60</v>
      </c>
      <c r="G48" s="65">
        <v>1</v>
      </c>
    </row>
    <row r="49" spans="1:7" x14ac:dyDescent="0.2">
      <c r="A49" s="38"/>
      <c r="B49" s="102"/>
      <c r="C49" s="102"/>
      <c r="D49" s="125" t="s">
        <v>86</v>
      </c>
      <c r="E49" s="126"/>
      <c r="F49" s="65">
        <f>ROUND((D48*(1-E48))/F48,2)</f>
        <v>2427.96</v>
      </c>
      <c r="G49" s="337">
        <f>G48*F49</f>
        <v>2427.96</v>
      </c>
    </row>
    <row r="50" spans="1:7" ht="11.25" customHeight="1" x14ac:dyDescent="0.2">
      <c r="A50" s="38"/>
      <c r="B50" s="102"/>
      <c r="C50" s="102"/>
      <c r="D50" s="336"/>
      <c r="E50" s="38"/>
      <c r="F50" s="97"/>
      <c r="G50" s="38"/>
    </row>
    <row r="51" spans="1:7" x14ac:dyDescent="0.2">
      <c r="A51" s="38"/>
      <c r="B51" s="749" t="s">
        <v>111</v>
      </c>
      <c r="C51" s="750"/>
      <c r="D51" s="750"/>
      <c r="E51" s="750"/>
      <c r="F51" s="750"/>
      <c r="G51" s="751"/>
    </row>
    <row r="52" spans="1:7" x14ac:dyDescent="0.2">
      <c r="A52" s="38"/>
      <c r="B52" s="66" t="s">
        <v>112</v>
      </c>
      <c r="C52" s="126"/>
      <c r="D52" s="130" t="s">
        <v>113</v>
      </c>
      <c r="E52" s="65">
        <f>ROUND(((E55)*(E56+1)/(2*E56)),2)</f>
        <v>139364.78</v>
      </c>
      <c r="F52" s="119" t="s">
        <v>108</v>
      </c>
      <c r="G52" s="119" t="s">
        <v>86</v>
      </c>
    </row>
    <row r="53" spans="1:7" x14ac:dyDescent="0.2">
      <c r="A53" s="38"/>
      <c r="B53" s="66" t="s">
        <v>114</v>
      </c>
      <c r="C53" s="126"/>
      <c r="D53" s="130" t="s">
        <v>115</v>
      </c>
      <c r="E53" s="65">
        <f>ROUND((E52*E57)/(E58),2)</f>
        <v>1161.3699999999999</v>
      </c>
      <c r="F53" s="122">
        <v>1</v>
      </c>
      <c r="G53" s="337">
        <f>+E53*F53</f>
        <v>1161.3699999999999</v>
      </c>
    </row>
    <row r="54" spans="1:7" ht="10.5" customHeight="1" x14ac:dyDescent="0.2">
      <c r="A54" s="38"/>
      <c r="B54" s="102"/>
      <c r="C54" s="41"/>
      <c r="D54" s="27"/>
      <c r="E54" s="38"/>
      <c r="F54" s="38"/>
      <c r="G54" s="38"/>
    </row>
    <row r="55" spans="1:7" x14ac:dyDescent="0.2">
      <c r="A55" s="38"/>
      <c r="B55" s="130" t="s">
        <v>116</v>
      </c>
      <c r="C55" s="131" t="s">
        <v>117</v>
      </c>
      <c r="D55" s="130" t="s">
        <v>116</v>
      </c>
      <c r="E55" s="65">
        <f>C46+C47</f>
        <v>232274.63</v>
      </c>
      <c r="F55" s="38"/>
      <c r="G55" s="38"/>
    </row>
    <row r="56" spans="1:7" x14ac:dyDescent="0.2">
      <c r="A56" s="38"/>
      <c r="B56" s="130" t="s">
        <v>118</v>
      </c>
      <c r="C56" s="64" t="s">
        <v>119</v>
      </c>
      <c r="D56" s="130" t="s">
        <v>118</v>
      </c>
      <c r="E56" s="201">
        <v>5</v>
      </c>
      <c r="F56" s="38"/>
      <c r="G56" s="38"/>
    </row>
    <row r="57" spans="1:7" x14ac:dyDescent="0.2">
      <c r="A57" s="38"/>
      <c r="B57" s="130" t="s">
        <v>120</v>
      </c>
      <c r="C57" s="64" t="s">
        <v>121</v>
      </c>
      <c r="D57" s="130" t="s">
        <v>120</v>
      </c>
      <c r="E57" s="123">
        <v>0.1</v>
      </c>
      <c r="F57" s="38"/>
      <c r="G57" s="132"/>
    </row>
    <row r="58" spans="1:7" x14ac:dyDescent="0.2">
      <c r="A58" s="38"/>
      <c r="B58" s="130" t="s">
        <v>122</v>
      </c>
      <c r="C58" s="64" t="s">
        <v>123</v>
      </c>
      <c r="D58" s="130" t="s">
        <v>122</v>
      </c>
      <c r="E58" s="133">
        <v>12</v>
      </c>
      <c r="F58" s="38"/>
      <c r="G58" s="22"/>
    </row>
    <row r="59" spans="1:7" ht="10.5" customHeight="1" x14ac:dyDescent="0.2">
      <c r="A59" s="38"/>
      <c r="B59" s="102"/>
      <c r="C59" s="102"/>
      <c r="D59" s="38"/>
      <c r="E59" s="27"/>
      <c r="F59" s="27"/>
      <c r="G59" s="27"/>
    </row>
    <row r="60" spans="1:7" x14ac:dyDescent="0.2">
      <c r="A60" s="38"/>
      <c r="B60" s="62" t="s">
        <v>124</v>
      </c>
      <c r="C60" s="115"/>
      <c r="D60" s="115"/>
      <c r="E60" s="115"/>
      <c r="F60" s="115"/>
      <c r="G60" s="129"/>
    </row>
    <row r="61" spans="1:7" x14ac:dyDescent="0.2">
      <c r="A61" s="38"/>
      <c r="B61" s="118" t="s">
        <v>125</v>
      </c>
      <c r="C61" s="65">
        <f>C46+C47</f>
        <v>232274.63</v>
      </c>
      <c r="D61" s="119" t="s">
        <v>106</v>
      </c>
      <c r="E61" s="119" t="s">
        <v>126</v>
      </c>
      <c r="F61" s="119" t="s">
        <v>48</v>
      </c>
      <c r="G61" s="119" t="s">
        <v>108</v>
      </c>
    </row>
    <row r="62" spans="1:7" x14ac:dyDescent="0.2">
      <c r="A62" s="38"/>
      <c r="B62" s="118" t="s">
        <v>110</v>
      </c>
      <c r="C62" s="121">
        <f>C48</f>
        <v>8154.9719999999998</v>
      </c>
      <c r="D62" s="122">
        <f>C46+C47</f>
        <v>232274.63</v>
      </c>
      <c r="E62" s="22">
        <v>0.7</v>
      </c>
      <c r="F62" s="124">
        <v>60</v>
      </c>
      <c r="G62" s="65">
        <v>1</v>
      </c>
    </row>
    <row r="63" spans="1:7" x14ac:dyDescent="0.2">
      <c r="A63" s="38"/>
      <c r="B63" s="102"/>
      <c r="C63" s="102"/>
      <c r="D63" s="125" t="s">
        <v>86</v>
      </c>
      <c r="E63" s="126"/>
      <c r="F63" s="65">
        <f>ROUND((D62*E62)/F62,2)</f>
        <v>2709.87</v>
      </c>
      <c r="G63" s="127">
        <f>F63*G62</f>
        <v>2709.87</v>
      </c>
    </row>
    <row r="64" spans="1:7" x14ac:dyDescent="0.2">
      <c r="A64" s="38"/>
      <c r="B64" s="102"/>
      <c r="C64" s="102"/>
      <c r="D64" s="128"/>
      <c r="E64" s="38"/>
      <c r="F64" s="21"/>
      <c r="G64" s="134"/>
    </row>
    <row r="65" spans="1:7" x14ac:dyDescent="0.2">
      <c r="A65" s="38"/>
      <c r="B65" s="62" t="s">
        <v>127</v>
      </c>
      <c r="C65" s="115"/>
      <c r="D65" s="115"/>
      <c r="E65" s="115"/>
      <c r="F65" s="115"/>
      <c r="G65" s="135"/>
    </row>
    <row r="66" spans="1:7" x14ac:dyDescent="0.2">
      <c r="A66" s="38"/>
      <c r="B66" s="36" t="s">
        <v>128</v>
      </c>
      <c r="C66" s="338">
        <v>2.5</v>
      </c>
      <c r="D66" s="36" t="s">
        <v>129</v>
      </c>
      <c r="E66" s="36" t="s">
        <v>142</v>
      </c>
      <c r="F66" s="136" t="s">
        <v>16</v>
      </c>
      <c r="G66" s="61"/>
    </row>
    <row r="67" spans="1:7" x14ac:dyDescent="0.2">
      <c r="A67" s="38"/>
      <c r="B67" s="90" t="s">
        <v>130</v>
      </c>
      <c r="C67" s="949">
        <v>3.6549999999999998</v>
      </c>
      <c r="D67" s="137">
        <f>ROUND(C67/C66,4)</f>
        <v>1.462</v>
      </c>
      <c r="E67" s="65">
        <f>D86</f>
        <v>574</v>
      </c>
      <c r="F67" s="122">
        <f>ROUND(D67*E67,4)</f>
        <v>839.18799999999999</v>
      </c>
      <c r="G67" s="70"/>
    </row>
    <row r="68" spans="1:7" x14ac:dyDescent="0.2">
      <c r="A68" s="38"/>
      <c r="B68" s="102"/>
      <c r="C68" s="339" t="s">
        <v>377</v>
      </c>
      <c r="D68" s="38"/>
      <c r="E68" s="38"/>
      <c r="F68" s="136" t="s">
        <v>86</v>
      </c>
      <c r="G68" s="139">
        <f>F67</f>
        <v>839.18799999999999</v>
      </c>
    </row>
    <row r="69" spans="1:7" ht="10.5" customHeight="1" x14ac:dyDescent="0.2">
      <c r="A69" s="38"/>
      <c r="B69" s="102"/>
      <c r="C69" s="113"/>
      <c r="D69" s="38"/>
      <c r="E69" s="38"/>
      <c r="F69" s="38"/>
      <c r="G69" s="140"/>
    </row>
    <row r="70" spans="1:7" x14ac:dyDescent="0.2">
      <c r="A70" s="38"/>
      <c r="B70" s="62" t="s">
        <v>25</v>
      </c>
      <c r="C70" s="141"/>
      <c r="D70" s="38"/>
      <c r="E70" s="38"/>
      <c r="F70" s="38"/>
      <c r="G70" s="140"/>
    </row>
    <row r="71" spans="1:7" s="17" customFormat="1" ht="15" x14ac:dyDescent="0.2">
      <c r="B71" s="73" t="s">
        <v>131</v>
      </c>
      <c r="C71" s="142">
        <v>0.05</v>
      </c>
      <c r="D71" s="143" t="s">
        <v>132</v>
      </c>
      <c r="E71" s="73">
        <f>G68</f>
        <v>839.18799999999999</v>
      </c>
      <c r="F71" s="144" t="s">
        <v>16</v>
      </c>
      <c r="G71" s="139">
        <f>C71*E71</f>
        <v>41.959400000000002</v>
      </c>
    </row>
    <row r="72" spans="1:7" s="17" customFormat="1" ht="15" x14ac:dyDescent="0.2">
      <c r="B72" s="116"/>
      <c r="C72" s="145"/>
      <c r="D72" s="146"/>
      <c r="E72" s="116"/>
      <c r="F72" s="116"/>
      <c r="G72" s="21"/>
    </row>
    <row r="73" spans="1:7" s="17" customFormat="1" ht="15" x14ac:dyDescent="0.2">
      <c r="B73" s="44" t="s">
        <v>133</v>
      </c>
      <c r="C73" s="44" t="s">
        <v>28</v>
      </c>
      <c r="D73" s="44" t="s">
        <v>134</v>
      </c>
      <c r="E73" s="44" t="s">
        <v>142</v>
      </c>
      <c r="F73" s="44" t="s">
        <v>16</v>
      </c>
      <c r="G73" s="147"/>
    </row>
    <row r="74" spans="1:7" s="17" customFormat="1" ht="15" x14ac:dyDescent="0.2">
      <c r="B74" s="73" t="s">
        <v>135</v>
      </c>
      <c r="C74" s="950">
        <f>9.4*$J$17</f>
        <v>9.5344200000000008</v>
      </c>
      <c r="D74" s="148">
        <v>2.4399999999999999E-3</v>
      </c>
      <c r="E74" s="73">
        <v>522</v>
      </c>
      <c r="F74" s="73">
        <f>C74*D74*E74</f>
        <v>12.143800065600001</v>
      </c>
      <c r="G74" s="23"/>
    </row>
    <row r="75" spans="1:7" s="17" customFormat="1" ht="15" x14ac:dyDescent="0.2">
      <c r="B75" s="25" t="s">
        <v>136</v>
      </c>
      <c r="C75" s="951">
        <f>10*$J$17</f>
        <v>10.143000000000001</v>
      </c>
      <c r="D75" s="149">
        <v>5.9999999999999995E-4</v>
      </c>
      <c r="E75" s="25">
        <v>522</v>
      </c>
      <c r="F75" s="73">
        <f t="shared" ref="F75:F80" si="0">C75*D75*E75</f>
        <v>3.1767875999999999</v>
      </c>
      <c r="G75" s="23"/>
    </row>
    <row r="76" spans="1:7" s="17" customFormat="1" ht="15" x14ac:dyDescent="0.2">
      <c r="B76" s="25" t="s">
        <v>137</v>
      </c>
      <c r="C76" s="951">
        <f>6.86*$J$17</f>
        <v>6.9580980000000006</v>
      </c>
      <c r="D76" s="149">
        <v>5.0000000000000001E-3</v>
      </c>
      <c r="E76" s="25">
        <v>522</v>
      </c>
      <c r="F76" s="73">
        <f t="shared" si="0"/>
        <v>18.16063578</v>
      </c>
      <c r="G76" s="23"/>
    </row>
    <row r="77" spans="1:7" s="17" customFormat="1" ht="15" x14ac:dyDescent="0.2">
      <c r="B77" s="25" t="s">
        <v>33</v>
      </c>
      <c r="C77" s="951">
        <f>11.9*$J$17</f>
        <v>12.070170000000001</v>
      </c>
      <c r="D77" s="149">
        <v>3.1E-4</v>
      </c>
      <c r="E77" s="25">
        <v>522</v>
      </c>
      <c r="F77" s="73">
        <f t="shared" si="0"/>
        <v>1.9531949094000001</v>
      </c>
      <c r="G77" s="23"/>
    </row>
    <row r="78" spans="1:7" s="17" customFormat="1" ht="15" x14ac:dyDescent="0.2">
      <c r="B78" s="25" t="s">
        <v>46</v>
      </c>
      <c r="C78" s="951">
        <f>9.65*$J$17</f>
        <v>9.7879950000000004</v>
      </c>
      <c r="D78" s="149">
        <v>1E-4</v>
      </c>
      <c r="E78" s="25">
        <v>522</v>
      </c>
      <c r="F78" s="73">
        <f t="shared" si="0"/>
        <v>0.51093333900000004</v>
      </c>
      <c r="G78" s="23"/>
    </row>
    <row r="79" spans="1:7" s="17" customFormat="1" ht="15" x14ac:dyDescent="0.2">
      <c r="B79" s="25" t="s">
        <v>138</v>
      </c>
      <c r="C79" s="951">
        <f>20*$J$17</f>
        <v>20.286000000000001</v>
      </c>
      <c r="D79" s="149">
        <v>1E-4</v>
      </c>
      <c r="E79" s="25">
        <v>522</v>
      </c>
      <c r="F79" s="73">
        <f t="shared" si="0"/>
        <v>1.0589292000000001</v>
      </c>
      <c r="G79" s="23"/>
    </row>
    <row r="80" spans="1:7" s="17" customFormat="1" ht="15" x14ac:dyDescent="0.2">
      <c r="B80" s="150" t="s">
        <v>34</v>
      </c>
      <c r="C80" s="952">
        <f>10.71*$J$17</f>
        <v>10.863153000000001</v>
      </c>
      <c r="D80" s="151">
        <v>1.5E-3</v>
      </c>
      <c r="E80" s="150">
        <v>522</v>
      </c>
      <c r="F80" s="73">
        <f t="shared" si="0"/>
        <v>8.5058487990000007</v>
      </c>
      <c r="G80" s="152"/>
    </row>
    <row r="81" spans="1:7" s="17" customFormat="1" ht="15" x14ac:dyDescent="0.2">
      <c r="B81" s="18"/>
      <c r="C81" s="18"/>
      <c r="D81" s="18"/>
      <c r="E81" s="28"/>
      <c r="F81" s="153" t="s">
        <v>86</v>
      </c>
      <c r="G81" s="139">
        <f>SUM(F74:F80)</f>
        <v>45.510129692999996</v>
      </c>
    </row>
    <row r="82" spans="1:7" x14ac:dyDescent="0.2">
      <c r="A82" s="38"/>
      <c r="B82" s="125" t="s">
        <v>139</v>
      </c>
      <c r="C82" s="126"/>
      <c r="D82" s="27"/>
      <c r="E82" s="27"/>
      <c r="F82" s="21"/>
      <c r="G82" s="21"/>
    </row>
    <row r="83" spans="1:7" x14ac:dyDescent="0.2">
      <c r="A83" s="38"/>
      <c r="B83" s="118" t="s">
        <v>140</v>
      </c>
      <c r="C83" s="154">
        <v>1</v>
      </c>
      <c r="D83" s="155"/>
      <c r="E83" s="156"/>
    </row>
    <row r="84" spans="1:7" x14ac:dyDescent="0.2">
      <c r="A84" s="38"/>
      <c r="B84" s="118" t="s">
        <v>97</v>
      </c>
      <c r="C84" s="247">
        <f>D19</f>
        <v>22</v>
      </c>
      <c r="D84" s="155"/>
      <c r="E84" s="21"/>
    </row>
    <row r="85" spans="1:7" x14ac:dyDescent="0.2">
      <c r="A85" s="38"/>
      <c r="B85" s="64" t="s">
        <v>141</v>
      </c>
      <c r="C85" s="157">
        <v>26.08</v>
      </c>
      <c r="D85" s="155"/>
      <c r="E85" s="21"/>
    </row>
    <row r="86" spans="1:7" x14ac:dyDescent="0.2">
      <c r="A86" s="38"/>
      <c r="B86" s="158" t="s">
        <v>142</v>
      </c>
      <c r="C86" s="159">
        <f>ROUND(C83*C84*C85,0)</f>
        <v>574</v>
      </c>
      <c r="D86" s="160">
        <f>C86</f>
        <v>574</v>
      </c>
      <c r="E86" s="21"/>
    </row>
    <row r="87" spans="1:7" x14ac:dyDescent="0.2">
      <c r="A87" s="38"/>
      <c r="B87" s="41"/>
      <c r="C87" s="161"/>
      <c r="D87" s="43"/>
      <c r="E87" s="27"/>
      <c r="F87" s="21"/>
      <c r="G87" s="21"/>
    </row>
    <row r="88" spans="1:7" x14ac:dyDescent="0.2">
      <c r="A88" s="38"/>
      <c r="B88" s="744" t="s">
        <v>143</v>
      </c>
      <c r="C88" s="745"/>
      <c r="D88" s="745"/>
      <c r="E88" s="745"/>
      <c r="F88" s="745"/>
      <c r="G88" s="746"/>
    </row>
    <row r="89" spans="1:7" x14ac:dyDescent="0.2">
      <c r="A89" s="38"/>
      <c r="B89" s="41"/>
      <c r="C89" s="161"/>
      <c r="D89" s="43"/>
      <c r="E89" s="27"/>
      <c r="F89" s="21"/>
      <c r="G89" s="21"/>
    </row>
    <row r="90" spans="1:7" x14ac:dyDescent="0.2">
      <c r="A90" s="38"/>
      <c r="B90" s="119" t="s">
        <v>27</v>
      </c>
      <c r="C90" s="119" t="s">
        <v>2</v>
      </c>
      <c r="D90" s="162" t="s">
        <v>28</v>
      </c>
      <c r="E90" s="119" t="s">
        <v>86</v>
      </c>
      <c r="F90" s="162" t="s">
        <v>144</v>
      </c>
      <c r="G90" s="163"/>
    </row>
    <row r="91" spans="1:7" x14ac:dyDescent="0.2">
      <c r="A91" s="38"/>
      <c r="B91" s="118" t="s">
        <v>145</v>
      </c>
      <c r="C91" s="164">
        <v>2</v>
      </c>
      <c r="D91" s="953">
        <f>1340*$J$17</f>
        <v>1359.162</v>
      </c>
      <c r="E91" s="65">
        <f>C91*D91</f>
        <v>2718.3240000000001</v>
      </c>
      <c r="F91" s="165"/>
      <c r="G91" s="166"/>
    </row>
    <row r="92" spans="1:7" x14ac:dyDescent="0.2">
      <c r="A92" s="38"/>
      <c r="B92" s="118" t="s">
        <v>146</v>
      </c>
      <c r="C92" s="164">
        <v>4</v>
      </c>
      <c r="D92" s="953">
        <f>90*$J$17</f>
        <v>91.286999999999992</v>
      </c>
      <c r="E92" s="65">
        <f t="shared" ref="E92:E98" si="1">C92*D92</f>
        <v>365.14799999999997</v>
      </c>
      <c r="F92" s="165"/>
      <c r="G92" s="166"/>
    </row>
    <row r="93" spans="1:7" x14ac:dyDescent="0.2">
      <c r="A93" s="38"/>
      <c r="B93" s="118" t="s">
        <v>147</v>
      </c>
      <c r="C93" s="164">
        <v>4</v>
      </c>
      <c r="D93" s="953">
        <f>25*$J$17</f>
        <v>25.357499999999998</v>
      </c>
      <c r="E93" s="65">
        <f t="shared" si="1"/>
        <v>101.42999999999999</v>
      </c>
      <c r="F93" s="165"/>
      <c r="G93" s="65" t="s">
        <v>148</v>
      </c>
    </row>
    <row r="94" spans="1:7" x14ac:dyDescent="0.2">
      <c r="A94" s="38"/>
      <c r="B94" s="118" t="s">
        <v>149</v>
      </c>
      <c r="C94" s="164">
        <v>4</v>
      </c>
      <c r="D94" s="953">
        <f>420*$J$17</f>
        <v>426.00599999999997</v>
      </c>
      <c r="E94" s="65">
        <f t="shared" si="1"/>
        <v>1704.0239999999999</v>
      </c>
      <c r="F94" s="65">
        <v>2</v>
      </c>
      <c r="G94" s="167">
        <v>75000</v>
      </c>
    </row>
    <row r="95" spans="1:7" x14ac:dyDescent="0.2">
      <c r="A95" s="38"/>
      <c r="B95" s="118" t="s">
        <v>150</v>
      </c>
      <c r="C95" s="164">
        <v>4</v>
      </c>
      <c r="D95" s="953">
        <f>D91</f>
        <v>1359.162</v>
      </c>
      <c r="E95" s="65">
        <f t="shared" si="1"/>
        <v>5436.6480000000001</v>
      </c>
      <c r="F95" s="168"/>
      <c r="G95" s="169"/>
    </row>
    <row r="96" spans="1:7" x14ac:dyDescent="0.2">
      <c r="A96" s="38"/>
      <c r="B96" s="118" t="s">
        <v>146</v>
      </c>
      <c r="C96" s="164">
        <v>8</v>
      </c>
      <c r="D96" s="953">
        <f>D92</f>
        <v>91.286999999999992</v>
      </c>
      <c r="E96" s="65">
        <f t="shared" si="1"/>
        <v>730.29599999999994</v>
      </c>
      <c r="F96" s="166"/>
      <c r="G96" s="65" t="s">
        <v>142</v>
      </c>
    </row>
    <row r="97" spans="1:8" x14ac:dyDescent="0.2">
      <c r="A97" s="38"/>
      <c r="B97" s="118" t="s">
        <v>147</v>
      </c>
      <c r="C97" s="164">
        <v>8</v>
      </c>
      <c r="D97" s="953">
        <f>D93</f>
        <v>25.357499999999998</v>
      </c>
      <c r="E97" s="65">
        <f t="shared" si="1"/>
        <v>202.85999999999999</v>
      </c>
      <c r="F97" s="170"/>
      <c r="G97" s="65">
        <f>D86</f>
        <v>574</v>
      </c>
    </row>
    <row r="98" spans="1:8" x14ac:dyDescent="0.2">
      <c r="A98" s="38"/>
      <c r="B98" s="118" t="s">
        <v>149</v>
      </c>
      <c r="C98" s="164">
        <v>8</v>
      </c>
      <c r="D98" s="953">
        <f>D94</f>
        <v>426.00599999999997</v>
      </c>
      <c r="E98" s="65">
        <f t="shared" si="1"/>
        <v>3408.0479999999998</v>
      </c>
      <c r="F98" s="65">
        <v>2</v>
      </c>
      <c r="G98" s="169"/>
    </row>
    <row r="99" spans="1:8" x14ac:dyDescent="0.2">
      <c r="A99" s="38"/>
      <c r="B99" s="139" t="s">
        <v>86</v>
      </c>
      <c r="C99" s="171"/>
      <c r="D99" s="172"/>
      <c r="E99" s="139">
        <f>SUM(E91:E98)</f>
        <v>14666.778000000002</v>
      </c>
      <c r="F99" s="172"/>
      <c r="G99" s="127">
        <f>IF(G94&lt;&gt;0,ROUND((E99*G97)/G94,2),0)</f>
        <v>112.25</v>
      </c>
    </row>
    <row r="100" spans="1:8" x14ac:dyDescent="0.2">
      <c r="A100" s="38"/>
      <c r="B100" s="41"/>
      <c r="C100" s="173"/>
      <c r="D100" s="43"/>
      <c r="E100" s="27"/>
      <c r="F100" s="21"/>
      <c r="G100" s="21"/>
    </row>
    <row r="101" spans="1:8" x14ac:dyDescent="0.2">
      <c r="A101" s="38"/>
      <c r="B101" s="744" t="s">
        <v>151</v>
      </c>
      <c r="C101" s="745"/>
      <c r="D101" s="745"/>
      <c r="E101" s="745"/>
      <c r="F101" s="745"/>
      <c r="G101" s="746"/>
    </row>
    <row r="102" spans="1:8" x14ac:dyDescent="0.2">
      <c r="A102" s="38"/>
      <c r="B102" s="173"/>
      <c r="C102" s="38"/>
      <c r="D102" s="38"/>
      <c r="E102" s="38"/>
      <c r="F102" s="38"/>
      <c r="G102" s="102"/>
    </row>
    <row r="103" spans="1:8" ht="15" x14ac:dyDescent="0.2">
      <c r="A103" s="38"/>
      <c r="B103" s="174" t="s">
        <v>152</v>
      </c>
      <c r="C103" s="175" t="s">
        <v>153</v>
      </c>
      <c r="D103" s="176" t="s">
        <v>154</v>
      </c>
      <c r="E103" s="176" t="s">
        <v>16</v>
      </c>
      <c r="F103" s="136" t="s">
        <v>108</v>
      </c>
      <c r="G103" s="136" t="s">
        <v>86</v>
      </c>
      <c r="H103" s="340"/>
    </row>
    <row r="104" spans="1:8" x14ac:dyDescent="0.2">
      <c r="A104" s="38"/>
      <c r="B104" s="72" t="s">
        <v>155</v>
      </c>
      <c r="C104" s="177"/>
      <c r="D104" s="179">
        <f>16.77+72.85</f>
        <v>89.61999999999999</v>
      </c>
      <c r="E104" s="178"/>
      <c r="F104" s="166"/>
      <c r="G104" s="166"/>
      <c r="H104" s="340"/>
    </row>
    <row r="105" spans="1:8" x14ac:dyDescent="0.2">
      <c r="A105" s="38"/>
      <c r="B105" s="64" t="s">
        <v>156</v>
      </c>
      <c r="C105" s="246">
        <v>0.01</v>
      </c>
      <c r="D105" s="65">
        <f>ROUND((C46+C47)*C105,2)</f>
        <v>2322.75</v>
      </c>
      <c r="E105" s="179">
        <f>ROUND((D104+D105)/12,2)</f>
        <v>201.03</v>
      </c>
      <c r="F105" s="65">
        <v>1</v>
      </c>
      <c r="G105" s="180">
        <f>E105*F105</f>
        <v>201.03</v>
      </c>
      <c r="H105" s="340"/>
    </row>
    <row r="106" spans="1:8" x14ac:dyDescent="0.2">
      <c r="A106" s="38"/>
      <c r="B106" s="115"/>
      <c r="C106" s="181"/>
      <c r="D106" s="116"/>
      <c r="E106" s="182"/>
      <c r="F106" s="138"/>
      <c r="G106" s="183"/>
    </row>
    <row r="107" spans="1:8" ht="15" x14ac:dyDescent="0.2">
      <c r="A107" s="38"/>
      <c r="B107" s="136" t="s">
        <v>89</v>
      </c>
      <c r="C107" s="184" t="s">
        <v>153</v>
      </c>
      <c r="D107" s="176" t="s">
        <v>154</v>
      </c>
      <c r="E107" s="176" t="s">
        <v>16</v>
      </c>
      <c r="F107" s="136" t="s">
        <v>108</v>
      </c>
      <c r="G107" s="136" t="s">
        <v>86</v>
      </c>
    </row>
    <row r="108" spans="1:8" x14ac:dyDescent="0.2">
      <c r="A108" s="38"/>
      <c r="B108" s="185" t="s">
        <v>157</v>
      </c>
      <c r="C108" s="186">
        <v>2.5000000000000001E-2</v>
      </c>
      <c r="D108" s="150">
        <f>ROUND((C46+C47)*C108,2)</f>
        <v>5806.87</v>
      </c>
      <c r="E108" s="187">
        <f>ROUND(D108/12,2)</f>
        <v>483.91</v>
      </c>
      <c r="F108" s="65">
        <v>1</v>
      </c>
      <c r="G108" s="139">
        <f>E108*F108</f>
        <v>483.91</v>
      </c>
    </row>
    <row r="109" spans="1:8" x14ac:dyDescent="0.2">
      <c r="A109" s="38"/>
      <c r="B109" s="41"/>
      <c r="C109" s="173"/>
      <c r="D109" s="43"/>
      <c r="E109" s="27"/>
      <c r="F109" s="21"/>
      <c r="G109" s="21"/>
    </row>
    <row r="110" spans="1:8" x14ac:dyDescent="0.2">
      <c r="A110" s="38"/>
      <c r="B110" s="188" t="s">
        <v>290</v>
      </c>
      <c r="C110" s="189"/>
      <c r="D110" s="190"/>
      <c r="E110" s="190"/>
      <c r="F110" s="191"/>
      <c r="G110" s="192">
        <f>G108+G105+G99+G81+G71+G68+G63+G53+G49</f>
        <v>8023.0475296929999</v>
      </c>
    </row>
    <row r="111" spans="1:8" x14ac:dyDescent="0.2">
      <c r="A111" s="38"/>
      <c r="B111" s="40"/>
      <c r="C111" s="40"/>
      <c r="D111" s="38"/>
      <c r="E111" s="38"/>
      <c r="F111" s="38"/>
      <c r="G111" s="97"/>
    </row>
    <row r="112" spans="1:8" x14ac:dyDescent="0.2">
      <c r="A112" s="86"/>
      <c r="B112" s="98" t="s">
        <v>285</v>
      </c>
      <c r="C112" s="99"/>
      <c r="D112" s="100"/>
      <c r="E112" s="100"/>
      <c r="F112" s="100"/>
      <c r="G112" s="101"/>
    </row>
    <row r="113" spans="1:7" ht="11.25" customHeight="1" x14ac:dyDescent="0.2">
      <c r="A113" s="38"/>
      <c r="B113" s="41"/>
      <c r="C113" s="41"/>
      <c r="D113" s="27"/>
      <c r="E113" s="27"/>
      <c r="F113" s="21"/>
      <c r="G113" s="21"/>
    </row>
    <row r="114" spans="1:7" x14ac:dyDescent="0.2">
      <c r="A114" s="38"/>
      <c r="B114" s="62" t="s">
        <v>104</v>
      </c>
      <c r="C114" s="74"/>
      <c r="D114" s="114"/>
      <c r="E114" s="115"/>
      <c r="F114" s="116"/>
      <c r="G114" s="139">
        <f>G49</f>
        <v>2427.96</v>
      </c>
    </row>
    <row r="115" spans="1:7" ht="11.25" customHeight="1" x14ac:dyDescent="0.2">
      <c r="A115" s="38"/>
      <c r="B115" s="102"/>
      <c r="C115" s="102"/>
      <c r="D115" s="128"/>
      <c r="E115" s="38"/>
      <c r="F115" s="97"/>
      <c r="G115" s="38"/>
    </row>
    <row r="116" spans="1:7" x14ac:dyDescent="0.2">
      <c r="A116" s="38"/>
      <c r="B116" s="62" t="s">
        <v>111</v>
      </c>
      <c r="C116" s="115"/>
      <c r="D116" s="115"/>
      <c r="E116" s="115"/>
      <c r="F116" s="115"/>
      <c r="G116" s="197">
        <f>G53</f>
        <v>1161.3699999999999</v>
      </c>
    </row>
    <row r="117" spans="1:7" ht="11.25" customHeight="1" x14ac:dyDescent="0.2">
      <c r="A117" s="38"/>
      <c r="B117" s="41"/>
      <c r="C117" s="173"/>
      <c r="D117" s="43"/>
      <c r="E117" s="27"/>
      <c r="F117" s="21"/>
      <c r="G117" s="21"/>
    </row>
    <row r="118" spans="1:7" x14ac:dyDescent="0.2">
      <c r="A118" s="38"/>
      <c r="B118" s="62" t="s">
        <v>158</v>
      </c>
      <c r="C118" s="115"/>
      <c r="D118" s="115"/>
      <c r="E118" s="115"/>
      <c r="F118" s="115"/>
      <c r="G118" s="197">
        <f>G108+G105</f>
        <v>684.94</v>
      </c>
    </row>
    <row r="119" spans="1:7" ht="11.25" customHeight="1" x14ac:dyDescent="0.2">
      <c r="A119" s="38"/>
      <c r="B119" s="41"/>
      <c r="C119" s="173"/>
      <c r="D119" s="43"/>
      <c r="E119" s="27"/>
      <c r="F119" s="21"/>
      <c r="G119" s="21"/>
    </row>
    <row r="120" spans="1:7" x14ac:dyDescent="0.2">
      <c r="A120" s="38"/>
      <c r="B120" s="62" t="s">
        <v>291</v>
      </c>
      <c r="C120" s="198"/>
      <c r="D120" s="115"/>
      <c r="E120" s="115"/>
      <c r="F120" s="126"/>
      <c r="G120" s="127">
        <f>G114+G116+G118</f>
        <v>4274.2700000000004</v>
      </c>
    </row>
    <row r="121" spans="1:7" ht="11.25" customHeight="1" x14ac:dyDescent="0.2">
      <c r="A121" s="38"/>
      <c r="B121" s="194"/>
      <c r="C121" s="194"/>
      <c r="D121" s="195"/>
      <c r="E121" s="195"/>
      <c r="F121" s="195"/>
      <c r="G121" s="199"/>
    </row>
    <row r="122" spans="1:7" x14ac:dyDescent="0.2">
      <c r="A122" s="38"/>
      <c r="B122" s="62" t="s">
        <v>292</v>
      </c>
      <c r="C122" s="115"/>
      <c r="D122" s="115"/>
      <c r="E122" s="115"/>
      <c r="F122" s="115"/>
      <c r="G122" s="197">
        <v>0.1</v>
      </c>
    </row>
    <row r="123" spans="1:7" ht="11.25" customHeight="1" x14ac:dyDescent="0.2">
      <c r="A123" s="38"/>
      <c r="B123" s="41"/>
      <c r="C123" s="173"/>
      <c r="D123" s="43"/>
      <c r="E123" s="27"/>
      <c r="F123" s="21"/>
      <c r="G123" s="21"/>
    </row>
    <row r="124" spans="1:7" x14ac:dyDescent="0.2">
      <c r="A124" s="200"/>
      <c r="B124" s="98" t="s">
        <v>293</v>
      </c>
      <c r="C124" s="189"/>
      <c r="D124" s="190"/>
      <c r="E124" s="190"/>
      <c r="F124" s="191"/>
      <c r="G124" s="192">
        <f>ROUND(G120*G122,2)</f>
        <v>427.43</v>
      </c>
    </row>
    <row r="125" spans="1:7" ht="15.75" x14ac:dyDescent="0.25">
      <c r="A125" s="38"/>
      <c r="B125" s="193"/>
      <c r="C125" s="194"/>
      <c r="D125" s="195"/>
      <c r="E125" s="195"/>
      <c r="F125" s="195"/>
      <c r="G125" s="196"/>
    </row>
    <row r="126" spans="1:7" x14ac:dyDescent="0.2">
      <c r="A126" s="86"/>
      <c r="B126" s="98" t="s">
        <v>283</v>
      </c>
      <c r="C126" s="99"/>
      <c r="D126" s="100"/>
      <c r="E126" s="100"/>
      <c r="F126" s="100"/>
      <c r="G126" s="101"/>
    </row>
    <row r="127" spans="1:7" x14ac:dyDescent="0.2">
      <c r="A127" s="38"/>
      <c r="B127" s="41"/>
      <c r="C127" s="41"/>
      <c r="D127" s="27"/>
      <c r="E127" s="27"/>
      <c r="F127" s="21"/>
      <c r="G127" s="21"/>
    </row>
    <row r="128" spans="1:7" x14ac:dyDescent="0.2">
      <c r="A128" s="38"/>
      <c r="B128" s="62" t="s">
        <v>104</v>
      </c>
      <c r="C128" s="74"/>
      <c r="D128" s="114"/>
      <c r="E128" s="115"/>
      <c r="F128" s="116"/>
      <c r="G128" s="117"/>
    </row>
    <row r="129" spans="1:7" x14ac:dyDescent="0.2">
      <c r="A129" s="38"/>
      <c r="B129" s="118" t="s">
        <v>161</v>
      </c>
      <c r="C129" s="65">
        <f>'CAMINHÕES-MAQUINAS-VEÍCULOS'!D12</f>
        <v>499199.97</v>
      </c>
      <c r="D129" s="119" t="s">
        <v>106</v>
      </c>
      <c r="E129" s="119" t="s">
        <v>107</v>
      </c>
      <c r="F129" s="119" t="s">
        <v>48</v>
      </c>
      <c r="G129" s="119" t="s">
        <v>108</v>
      </c>
    </row>
    <row r="130" spans="1:7" x14ac:dyDescent="0.2">
      <c r="A130" s="38"/>
      <c r="B130" s="118"/>
      <c r="C130" s="65"/>
      <c r="D130" s="120"/>
      <c r="E130" s="120"/>
      <c r="F130" s="120"/>
      <c r="G130" s="120"/>
    </row>
    <row r="131" spans="1:7" x14ac:dyDescent="0.2">
      <c r="A131" s="38"/>
      <c r="B131" s="118" t="s">
        <v>110</v>
      </c>
      <c r="C131" s="121">
        <f>E172+E176</f>
        <v>12901.896000000001</v>
      </c>
      <c r="D131" s="122">
        <f>C129-C131</f>
        <v>486298.07399999996</v>
      </c>
      <c r="E131" s="123">
        <v>0.35</v>
      </c>
      <c r="F131" s="124">
        <v>72</v>
      </c>
      <c r="G131" s="65">
        <v>1</v>
      </c>
    </row>
    <row r="132" spans="1:7" x14ac:dyDescent="0.2">
      <c r="A132" s="38"/>
      <c r="B132" s="102"/>
      <c r="C132" s="102"/>
      <c r="D132" s="125" t="s">
        <v>86</v>
      </c>
      <c r="E132" s="126"/>
      <c r="F132" s="65">
        <f>ROUND((D131*(1-E131))/F131,2)</f>
        <v>4390.1899999999996</v>
      </c>
      <c r="G132" s="127">
        <f>F132*G131</f>
        <v>4390.1899999999996</v>
      </c>
    </row>
    <row r="133" spans="1:7" x14ac:dyDescent="0.2">
      <c r="A133" s="38"/>
      <c r="B133" s="102"/>
      <c r="C133" s="102"/>
      <c r="D133" s="128"/>
      <c r="E133" s="38"/>
      <c r="F133" s="97"/>
      <c r="G133" s="38"/>
    </row>
    <row r="134" spans="1:7" x14ac:dyDescent="0.2">
      <c r="A134" s="38"/>
      <c r="B134" s="744" t="s">
        <v>111</v>
      </c>
      <c r="C134" s="745"/>
      <c r="D134" s="745"/>
      <c r="E134" s="745"/>
      <c r="F134" s="745"/>
      <c r="G134" s="746"/>
    </row>
    <row r="135" spans="1:7" x14ac:dyDescent="0.2">
      <c r="A135" s="38"/>
      <c r="B135" s="66" t="s">
        <v>112</v>
      </c>
      <c r="C135" s="126"/>
      <c r="D135" s="130" t="s">
        <v>113</v>
      </c>
      <c r="E135" s="65">
        <f>ROUND(((E138)*(E139+1)/(2*E139)),2)</f>
        <v>291199.98</v>
      </c>
      <c r="F135" s="119" t="s">
        <v>108</v>
      </c>
      <c r="G135" s="119" t="s">
        <v>86</v>
      </c>
    </row>
    <row r="136" spans="1:7" x14ac:dyDescent="0.2">
      <c r="A136" s="38"/>
      <c r="B136" s="66" t="s">
        <v>114</v>
      </c>
      <c r="C136" s="126"/>
      <c r="D136" s="130" t="s">
        <v>115</v>
      </c>
      <c r="E136" s="65">
        <f>ROUND((E135*E140)/(E141),2)</f>
        <v>2426.67</v>
      </c>
      <c r="F136" s="122">
        <v>1</v>
      </c>
      <c r="G136" s="127">
        <f>E136*F136</f>
        <v>2426.67</v>
      </c>
    </row>
    <row r="137" spans="1:7" x14ac:dyDescent="0.2">
      <c r="A137" s="38"/>
      <c r="B137" s="102"/>
      <c r="C137" s="41"/>
      <c r="D137" s="27"/>
      <c r="E137" s="38"/>
      <c r="F137" s="38"/>
      <c r="G137" s="38"/>
    </row>
    <row r="138" spans="1:7" x14ac:dyDescent="0.2">
      <c r="A138" s="38"/>
      <c r="B138" s="130" t="s">
        <v>116</v>
      </c>
      <c r="C138" s="131" t="s">
        <v>117</v>
      </c>
      <c r="D138" s="130" t="s">
        <v>116</v>
      </c>
      <c r="E138" s="65">
        <f>C129</f>
        <v>499199.97</v>
      </c>
      <c r="F138" s="38"/>
      <c r="G138" s="38"/>
    </row>
    <row r="139" spans="1:7" x14ac:dyDescent="0.2">
      <c r="A139" s="38"/>
      <c r="B139" s="130" t="s">
        <v>118</v>
      </c>
      <c r="C139" s="64" t="s">
        <v>119</v>
      </c>
      <c r="D139" s="130" t="s">
        <v>118</v>
      </c>
      <c r="E139" s="201">
        <v>6</v>
      </c>
      <c r="F139" s="38"/>
      <c r="G139" s="38"/>
    </row>
    <row r="140" spans="1:7" x14ac:dyDescent="0.2">
      <c r="A140" s="38"/>
      <c r="B140" s="130" t="s">
        <v>120</v>
      </c>
      <c r="C140" s="64" t="s">
        <v>121</v>
      </c>
      <c r="D140" s="130" t="s">
        <v>120</v>
      </c>
      <c r="E140" s="123">
        <v>0.1</v>
      </c>
      <c r="F140" s="38"/>
      <c r="G140" s="132"/>
    </row>
    <row r="141" spans="1:7" x14ac:dyDescent="0.2">
      <c r="A141" s="38"/>
      <c r="B141" s="130" t="s">
        <v>122</v>
      </c>
      <c r="C141" s="64" t="s">
        <v>123</v>
      </c>
      <c r="D141" s="130" t="s">
        <v>122</v>
      </c>
      <c r="E141" s="133">
        <v>12</v>
      </c>
      <c r="F141" s="38"/>
      <c r="G141" s="22"/>
    </row>
    <row r="142" spans="1:7" x14ac:dyDescent="0.2">
      <c r="A142" s="38"/>
      <c r="B142" s="102"/>
      <c r="C142" s="102"/>
      <c r="D142" s="38"/>
      <c r="E142" s="27"/>
      <c r="F142" s="27"/>
      <c r="G142" s="27"/>
    </row>
    <row r="143" spans="1:7" x14ac:dyDescent="0.2">
      <c r="A143" s="38"/>
      <c r="B143" s="744" t="s">
        <v>124</v>
      </c>
      <c r="C143" s="745"/>
      <c r="D143" s="745"/>
      <c r="E143" s="745"/>
      <c r="F143" s="745"/>
      <c r="G143" s="746"/>
    </row>
    <row r="144" spans="1:7" x14ac:dyDescent="0.2">
      <c r="A144" s="38"/>
      <c r="B144" s="118" t="s">
        <v>125</v>
      </c>
      <c r="C144" s="65">
        <f>C129</f>
        <v>499199.97</v>
      </c>
      <c r="D144" s="119" t="s">
        <v>106</v>
      </c>
      <c r="E144" s="119" t="s">
        <v>126</v>
      </c>
      <c r="F144" s="119" t="s">
        <v>48</v>
      </c>
      <c r="G144" s="119" t="s">
        <v>108</v>
      </c>
    </row>
    <row r="145" spans="1:7" x14ac:dyDescent="0.2">
      <c r="A145" s="38"/>
      <c r="B145" s="118" t="s">
        <v>110</v>
      </c>
      <c r="C145" s="121">
        <f>C131</f>
        <v>12901.896000000001</v>
      </c>
      <c r="D145" s="122">
        <f>C144-C145</f>
        <v>486298.07399999996</v>
      </c>
      <c r="E145" s="22">
        <v>1.0006237558062367</v>
      </c>
      <c r="F145" s="124">
        <v>72</v>
      </c>
      <c r="G145" s="65">
        <v>1</v>
      </c>
    </row>
    <row r="146" spans="1:7" x14ac:dyDescent="0.2">
      <c r="A146" s="38"/>
      <c r="B146" s="102"/>
      <c r="C146" s="102"/>
      <c r="D146" s="125" t="s">
        <v>86</v>
      </c>
      <c r="E146" s="126"/>
      <c r="F146" s="65">
        <f>ROUND(D145*E145/F145,2)</f>
        <v>6758.35</v>
      </c>
      <c r="G146" s="127">
        <f>F146*G145</f>
        <v>6758.35</v>
      </c>
    </row>
    <row r="147" spans="1:7" x14ac:dyDescent="0.2">
      <c r="A147" s="38"/>
      <c r="B147" s="102"/>
      <c r="C147" s="102"/>
      <c r="D147" s="128"/>
      <c r="E147" s="38"/>
      <c r="F147" s="21"/>
      <c r="G147" s="134"/>
    </row>
    <row r="148" spans="1:7" x14ac:dyDescent="0.2">
      <c r="A148" s="38"/>
      <c r="B148" s="747" t="s">
        <v>127</v>
      </c>
      <c r="C148" s="747"/>
      <c r="D148" s="747"/>
      <c r="E148" s="747"/>
      <c r="F148" s="747"/>
      <c r="G148" s="747"/>
    </row>
    <row r="149" spans="1:7" x14ac:dyDescent="0.2">
      <c r="A149" s="38"/>
      <c r="B149" s="341" t="s">
        <v>128</v>
      </c>
      <c r="C149" s="343">
        <v>13.5</v>
      </c>
      <c r="D149" s="341" t="s">
        <v>175</v>
      </c>
      <c r="E149" s="341" t="s">
        <v>179</v>
      </c>
      <c r="F149" s="342" t="s">
        <v>16</v>
      </c>
      <c r="G149" s="61"/>
    </row>
    <row r="150" spans="1:7" x14ac:dyDescent="0.2">
      <c r="A150" s="38"/>
      <c r="B150" s="90" t="s">
        <v>130</v>
      </c>
      <c r="C150" s="949">
        <f>C67</f>
        <v>3.6549999999999998</v>
      </c>
      <c r="D150" s="137">
        <f>ROUND(C150*C149,4)</f>
        <v>49.342500000000001</v>
      </c>
      <c r="E150" s="65">
        <v>261</v>
      </c>
      <c r="F150" s="122">
        <f>D150*E150</f>
        <v>12878.3925</v>
      </c>
      <c r="G150" s="70"/>
    </row>
    <row r="151" spans="1:7" x14ac:dyDescent="0.2">
      <c r="A151" s="38"/>
      <c r="B151" s="102"/>
      <c r="C151" s="339" t="str">
        <f>C68</f>
        <v>SINAPI: 4221</v>
      </c>
      <c r="D151" s="38"/>
      <c r="E151" s="38"/>
      <c r="F151" s="136" t="s">
        <v>86</v>
      </c>
      <c r="G151" s="139">
        <f>F150</f>
        <v>12878.3925</v>
      </c>
    </row>
    <row r="152" spans="1:7" x14ac:dyDescent="0.2">
      <c r="A152" s="38"/>
      <c r="B152" s="102"/>
      <c r="C152" s="21"/>
      <c r="D152" s="38"/>
      <c r="E152" s="38"/>
      <c r="F152" s="38"/>
      <c r="G152" s="140"/>
    </row>
    <row r="153" spans="1:7" x14ac:dyDescent="0.2">
      <c r="A153" s="38"/>
      <c r="B153" s="744" t="s">
        <v>25</v>
      </c>
      <c r="C153" s="745"/>
      <c r="D153" s="745"/>
      <c r="E153" s="745"/>
      <c r="F153" s="745"/>
      <c r="G153" s="746"/>
    </row>
    <row r="154" spans="1:7" s="17" customFormat="1" ht="15" x14ac:dyDescent="0.2">
      <c r="B154" s="73" t="s">
        <v>131</v>
      </c>
      <c r="C154" s="142">
        <v>0.05</v>
      </c>
      <c r="D154" s="143" t="s">
        <v>132</v>
      </c>
      <c r="E154" s="73">
        <f>G151</f>
        <v>12878.3925</v>
      </c>
      <c r="F154" s="144" t="s">
        <v>16</v>
      </c>
      <c r="G154" s="139">
        <f>E154*C154</f>
        <v>643.919625</v>
      </c>
    </row>
    <row r="155" spans="1:7" s="17" customFormat="1" ht="15" x14ac:dyDescent="0.2">
      <c r="B155" s="116"/>
      <c r="C155" s="145"/>
      <c r="D155" s="146"/>
      <c r="E155" s="116"/>
      <c r="F155" s="116"/>
      <c r="G155" s="21"/>
    </row>
    <row r="156" spans="1:7" s="17" customFormat="1" ht="15" x14ac:dyDescent="0.2">
      <c r="B156" s="44" t="s">
        <v>133</v>
      </c>
      <c r="C156" s="44" t="s">
        <v>28</v>
      </c>
      <c r="D156" s="44" t="s">
        <v>134</v>
      </c>
      <c r="E156" s="44" t="s">
        <v>179</v>
      </c>
      <c r="F156" s="44" t="s">
        <v>16</v>
      </c>
      <c r="G156" s="147"/>
    </row>
    <row r="157" spans="1:7" s="17" customFormat="1" ht="15" x14ac:dyDescent="0.2">
      <c r="B157" s="73" t="s">
        <v>135</v>
      </c>
      <c r="C157" s="950">
        <f>9.4*$J$17</f>
        <v>9.5344200000000008</v>
      </c>
      <c r="D157" s="218">
        <v>0.04</v>
      </c>
      <c r="E157" s="24">
        <v>261</v>
      </c>
      <c r="F157" s="73">
        <f>C157*D157*E157</f>
        <v>99.539344800000009</v>
      </c>
      <c r="G157" s="23"/>
    </row>
    <row r="158" spans="1:7" s="17" customFormat="1" ht="15" x14ac:dyDescent="0.2">
      <c r="B158" s="25" t="s">
        <v>136</v>
      </c>
      <c r="C158" s="951">
        <f>10*$J$17</f>
        <v>10.143000000000001</v>
      </c>
      <c r="D158" s="219">
        <v>4.5999999999999999E-2</v>
      </c>
      <c r="E158" s="25">
        <v>261</v>
      </c>
      <c r="F158" s="73">
        <f>C158*D158*E158</f>
        <v>121.77685800000002</v>
      </c>
      <c r="G158" s="23"/>
    </row>
    <row r="159" spans="1:7" s="17" customFormat="1" ht="15" x14ac:dyDescent="0.2">
      <c r="B159" s="25" t="s">
        <v>137</v>
      </c>
      <c r="C159" s="951">
        <f>6.86*$J$17</f>
        <v>6.9580980000000006</v>
      </c>
      <c r="D159" s="219">
        <v>5.8000000000000003E-2</v>
      </c>
      <c r="E159" s="25">
        <v>261</v>
      </c>
      <c r="F159" s="73">
        <f>C159*D159*E159</f>
        <v>105.33168752400002</v>
      </c>
      <c r="G159" s="23"/>
    </row>
    <row r="160" spans="1:7" s="17" customFormat="1" ht="15" x14ac:dyDescent="0.2">
      <c r="B160" s="25" t="s">
        <v>47</v>
      </c>
      <c r="C160" s="951">
        <f>37*$J$17</f>
        <v>37.5291</v>
      </c>
      <c r="D160" s="219">
        <v>4.2000000000000003E-2</v>
      </c>
      <c r="E160" s="25">
        <v>261</v>
      </c>
      <c r="F160" s="73">
        <f>C160*D160*E160</f>
        <v>411.39399420000001</v>
      </c>
      <c r="G160" s="23"/>
    </row>
    <row r="161" spans="1:7" s="17" customFormat="1" ht="15" x14ac:dyDescent="0.2">
      <c r="B161" s="150" t="s">
        <v>34</v>
      </c>
      <c r="C161" s="952">
        <f>10.71*$J$17</f>
        <v>10.863153000000001</v>
      </c>
      <c r="D161" s="220">
        <v>1.2E-2</v>
      </c>
      <c r="E161" s="150">
        <v>261</v>
      </c>
      <c r="F161" s="73">
        <f>C161*D161*E161</f>
        <v>34.023395196000003</v>
      </c>
      <c r="G161" s="152"/>
    </row>
    <row r="162" spans="1:7" s="17" customFormat="1" ht="15" x14ac:dyDescent="0.2">
      <c r="B162" s="18"/>
      <c r="C162" s="221"/>
      <c r="D162" s="18"/>
      <c r="E162" s="28"/>
      <c r="F162" s="153" t="s">
        <v>86</v>
      </c>
      <c r="G162" s="139">
        <f>SUM(F157:F161)</f>
        <v>772.06527972000015</v>
      </c>
    </row>
    <row r="163" spans="1:7" x14ac:dyDescent="0.2">
      <c r="A163" s="38"/>
      <c r="B163" s="131" t="s">
        <v>176</v>
      </c>
      <c r="C163" s="126"/>
      <c r="D163" s="27"/>
      <c r="E163" s="27"/>
      <c r="F163" s="21"/>
      <c r="G163" s="21"/>
    </row>
    <row r="164" spans="1:7" x14ac:dyDescent="0.2">
      <c r="A164" s="38"/>
      <c r="B164" s="118" t="s">
        <v>177</v>
      </c>
      <c r="C164" s="248">
        <f>D22</f>
        <v>12</v>
      </c>
      <c r="D164" s="27"/>
      <c r="E164" s="155"/>
      <c r="F164" s="155"/>
      <c r="G164" s="21"/>
    </row>
    <row r="165" spans="1:7" x14ac:dyDescent="0.2">
      <c r="A165" s="38"/>
      <c r="B165" s="64" t="s">
        <v>141</v>
      </c>
      <c r="C165" s="122">
        <v>26.08</v>
      </c>
      <c r="D165" s="27"/>
      <c r="E165" s="155"/>
      <c r="F165" s="155"/>
      <c r="G165" s="21"/>
    </row>
    <row r="166" spans="1:7" x14ac:dyDescent="0.2">
      <c r="A166" s="38"/>
      <c r="B166" s="64" t="s">
        <v>178</v>
      </c>
      <c r="C166" s="122">
        <v>1</v>
      </c>
      <c r="D166" s="27"/>
      <c r="E166" s="155"/>
      <c r="F166" s="155"/>
      <c r="G166" s="21"/>
    </row>
    <row r="167" spans="1:7" x14ac:dyDescent="0.2">
      <c r="A167" s="38"/>
      <c r="B167" s="118" t="s">
        <v>179</v>
      </c>
      <c r="C167" s="65">
        <f>ROUND(C164*C165*C166,0)</f>
        <v>313</v>
      </c>
      <c r="D167" s="122">
        <f>C167</f>
        <v>313</v>
      </c>
      <c r="E167" s="155"/>
      <c r="F167" s="155"/>
      <c r="G167" s="21"/>
    </row>
    <row r="168" spans="1:7" x14ac:dyDescent="0.2">
      <c r="A168" s="38"/>
      <c r="B168" s="41"/>
      <c r="C168" s="161"/>
      <c r="D168" s="43"/>
      <c r="E168" s="27"/>
      <c r="F168" s="21"/>
      <c r="G168" s="21"/>
    </row>
    <row r="169" spans="1:7" x14ac:dyDescent="0.2">
      <c r="A169" s="38"/>
      <c r="B169" s="62" t="s">
        <v>143</v>
      </c>
      <c r="C169" s="115"/>
      <c r="D169" s="115"/>
      <c r="E169" s="115"/>
      <c r="F169" s="115"/>
      <c r="G169" s="129"/>
    </row>
    <row r="170" spans="1:7" x14ac:dyDescent="0.2">
      <c r="A170" s="38"/>
      <c r="B170" s="41"/>
      <c r="C170" s="161"/>
      <c r="D170" s="43"/>
      <c r="E170" s="27"/>
      <c r="F170" s="21"/>
      <c r="G170" s="21"/>
    </row>
    <row r="171" spans="1:7" x14ac:dyDescent="0.2">
      <c r="A171" s="38"/>
      <c r="B171" s="119" t="s">
        <v>27</v>
      </c>
      <c r="C171" s="119" t="s">
        <v>2</v>
      </c>
      <c r="D171" s="162" t="s">
        <v>28</v>
      </c>
      <c r="E171" s="119" t="s">
        <v>86</v>
      </c>
      <c r="F171" s="162" t="s">
        <v>144</v>
      </c>
      <c r="G171" s="163"/>
    </row>
    <row r="172" spans="1:7" x14ac:dyDescent="0.2">
      <c r="A172" s="38"/>
      <c r="B172" s="118" t="s">
        <v>145</v>
      </c>
      <c r="C172" s="164">
        <v>2</v>
      </c>
      <c r="D172" s="953">
        <f>3180*$J$17</f>
        <v>3225.4740000000002</v>
      </c>
      <c r="E172" s="65">
        <f t="shared" ref="E172:E179" si="2">C172*D172</f>
        <v>6450.9480000000003</v>
      </c>
      <c r="F172" s="165"/>
      <c r="G172" s="166"/>
    </row>
    <row r="173" spans="1:7" x14ac:dyDescent="0.2">
      <c r="A173" s="38"/>
      <c r="B173" s="118" t="s">
        <v>146</v>
      </c>
      <c r="C173" s="164">
        <v>4</v>
      </c>
      <c r="D173" s="953">
        <f>280*$J$17</f>
        <v>284.00400000000002</v>
      </c>
      <c r="E173" s="65">
        <f t="shared" si="2"/>
        <v>1136.0160000000001</v>
      </c>
      <c r="F173" s="165"/>
      <c r="G173" s="166"/>
    </row>
    <row r="174" spans="1:7" x14ac:dyDescent="0.2">
      <c r="A174" s="38"/>
      <c r="B174" s="118" t="s">
        <v>147</v>
      </c>
      <c r="C174" s="164">
        <v>4</v>
      </c>
      <c r="D174" s="953">
        <f>130*$J$17</f>
        <v>131.85900000000001</v>
      </c>
      <c r="E174" s="65">
        <f t="shared" si="2"/>
        <v>527.43600000000004</v>
      </c>
      <c r="F174" s="165"/>
      <c r="G174" s="65" t="s">
        <v>148</v>
      </c>
    </row>
    <row r="175" spans="1:7" x14ac:dyDescent="0.2">
      <c r="A175" s="38"/>
      <c r="B175" s="118" t="s">
        <v>149</v>
      </c>
      <c r="C175" s="164">
        <v>4</v>
      </c>
      <c r="D175" s="953">
        <f>1110*$J$17</f>
        <v>1125.873</v>
      </c>
      <c r="E175" s="65">
        <f t="shared" si="2"/>
        <v>4503.4920000000002</v>
      </c>
      <c r="F175" s="65">
        <v>2</v>
      </c>
      <c r="G175" s="222">
        <v>3000</v>
      </c>
    </row>
    <row r="176" spans="1:7" x14ac:dyDescent="0.2">
      <c r="A176" s="38"/>
      <c r="B176" s="118" t="s">
        <v>150</v>
      </c>
      <c r="C176" s="164">
        <v>2</v>
      </c>
      <c r="D176" s="953">
        <f>D172</f>
        <v>3225.4740000000002</v>
      </c>
      <c r="E176" s="65">
        <f t="shared" si="2"/>
        <v>6450.9480000000003</v>
      </c>
      <c r="F176" s="168"/>
      <c r="G176" s="169"/>
    </row>
    <row r="177" spans="1:7" x14ac:dyDescent="0.2">
      <c r="A177" s="38"/>
      <c r="B177" s="118" t="s">
        <v>146</v>
      </c>
      <c r="C177" s="164">
        <v>4</v>
      </c>
      <c r="D177" s="953">
        <f>D173</f>
        <v>284.00400000000002</v>
      </c>
      <c r="E177" s="65">
        <f t="shared" si="2"/>
        <v>1136.0160000000001</v>
      </c>
      <c r="F177" s="166"/>
      <c r="G177" s="65" t="s">
        <v>179</v>
      </c>
    </row>
    <row r="178" spans="1:7" x14ac:dyDescent="0.2">
      <c r="A178" s="38"/>
      <c r="B178" s="118" t="s">
        <v>147</v>
      </c>
      <c r="C178" s="164">
        <v>4</v>
      </c>
      <c r="D178" s="953">
        <f>D174</f>
        <v>131.85900000000001</v>
      </c>
      <c r="E178" s="65">
        <f t="shared" si="2"/>
        <v>527.43600000000004</v>
      </c>
      <c r="F178" s="170"/>
      <c r="G178" s="65">
        <f>D167</f>
        <v>313</v>
      </c>
    </row>
    <row r="179" spans="1:7" x14ac:dyDescent="0.2">
      <c r="A179" s="38"/>
      <c r="B179" s="118" t="s">
        <v>149</v>
      </c>
      <c r="C179" s="164">
        <v>4</v>
      </c>
      <c r="D179" s="953">
        <f>D175</f>
        <v>1125.873</v>
      </c>
      <c r="E179" s="65">
        <f t="shared" si="2"/>
        <v>4503.4920000000002</v>
      </c>
      <c r="F179" s="65">
        <v>2</v>
      </c>
      <c r="G179" s="169"/>
    </row>
    <row r="180" spans="1:7" x14ac:dyDescent="0.2">
      <c r="A180" s="38"/>
      <c r="B180" s="139" t="s">
        <v>86</v>
      </c>
      <c r="C180" s="171"/>
      <c r="D180" s="172"/>
      <c r="E180" s="139">
        <f>SUM(E172:E179)</f>
        <v>25235.784</v>
      </c>
      <c r="F180" s="172"/>
      <c r="G180" s="127">
        <f>IF(G175&lt;&gt;0,ROUND((E180*G178)/G175,2),0)</f>
        <v>2632.93</v>
      </c>
    </row>
    <row r="181" spans="1:7" x14ac:dyDescent="0.2">
      <c r="A181" s="38"/>
      <c r="B181" s="41"/>
      <c r="C181" s="173"/>
      <c r="D181" s="43"/>
      <c r="E181" s="27"/>
      <c r="F181" s="21"/>
      <c r="G181" s="21"/>
    </row>
    <row r="182" spans="1:7" x14ac:dyDescent="0.2">
      <c r="A182" s="38"/>
      <c r="B182" s="744" t="s">
        <v>151</v>
      </c>
      <c r="C182" s="745"/>
      <c r="D182" s="745"/>
      <c r="E182" s="745"/>
      <c r="F182" s="745"/>
      <c r="G182" s="746"/>
    </row>
    <row r="183" spans="1:7" x14ac:dyDescent="0.2">
      <c r="A183" s="38"/>
      <c r="B183" s="173"/>
      <c r="C183" s="38"/>
      <c r="D183" s="38"/>
      <c r="E183" s="38"/>
      <c r="F183" s="38"/>
      <c r="G183" s="102"/>
    </row>
    <row r="184" spans="1:7" ht="15" x14ac:dyDescent="0.2">
      <c r="A184" s="38"/>
      <c r="B184" s="174" t="s">
        <v>152</v>
      </c>
      <c r="C184" s="175" t="s">
        <v>153</v>
      </c>
      <c r="D184" s="176" t="s">
        <v>154</v>
      </c>
      <c r="E184" s="176" t="s">
        <v>16</v>
      </c>
      <c r="F184" s="136" t="s">
        <v>108</v>
      </c>
      <c r="G184" s="136" t="s">
        <v>86</v>
      </c>
    </row>
    <row r="185" spans="1:7" x14ac:dyDescent="0.2">
      <c r="A185" s="38"/>
      <c r="B185" s="72" t="s">
        <v>155</v>
      </c>
      <c r="C185" s="177"/>
      <c r="D185" s="179">
        <f>16.77+72.85</f>
        <v>89.61999999999999</v>
      </c>
      <c r="E185" s="178"/>
      <c r="F185" s="166"/>
      <c r="G185" s="166"/>
    </row>
    <row r="186" spans="1:7" x14ac:dyDescent="0.2">
      <c r="A186" s="38"/>
      <c r="B186" s="64" t="s">
        <v>156</v>
      </c>
      <c r="C186" s="246">
        <v>0.01</v>
      </c>
      <c r="D186" s="65">
        <f>ROUND(C129*C186,2)</f>
        <v>4992</v>
      </c>
      <c r="E186" s="179">
        <f>ROUND((D185+D186)/12,2)</f>
        <v>423.47</v>
      </c>
      <c r="F186" s="65">
        <v>1</v>
      </c>
      <c r="G186" s="180">
        <f>E186*F186</f>
        <v>423.47</v>
      </c>
    </row>
    <row r="187" spans="1:7" ht="9.75" customHeight="1" x14ac:dyDescent="0.2">
      <c r="A187" s="38"/>
      <c r="B187" s="112"/>
      <c r="C187" s="223"/>
      <c r="D187" s="113"/>
      <c r="E187" s="224"/>
      <c r="F187" s="113"/>
      <c r="G187" s="225"/>
    </row>
    <row r="188" spans="1:7" ht="15" x14ac:dyDescent="0.2">
      <c r="A188" s="38"/>
      <c r="B188" s="136" t="s">
        <v>89</v>
      </c>
      <c r="C188" s="184" t="s">
        <v>153</v>
      </c>
      <c r="D188" s="176" t="s">
        <v>154</v>
      </c>
      <c r="E188" s="176" t="s">
        <v>16</v>
      </c>
      <c r="F188" s="136" t="s">
        <v>108</v>
      </c>
      <c r="G188" s="136" t="s">
        <v>86</v>
      </c>
    </row>
    <row r="189" spans="1:7" x14ac:dyDescent="0.2">
      <c r="A189" s="38"/>
      <c r="B189" s="185" t="s">
        <v>160</v>
      </c>
      <c r="C189" s="186">
        <v>0.01</v>
      </c>
      <c r="D189" s="150">
        <f>ROUND(C129*C189,2)</f>
        <v>4992</v>
      </c>
      <c r="E189" s="65">
        <f>ROUND(D189/12,2)</f>
        <v>416</v>
      </c>
      <c r="F189" s="65">
        <v>1</v>
      </c>
      <c r="G189" s="139">
        <f>E189*F189</f>
        <v>416</v>
      </c>
    </row>
    <row r="190" spans="1:7" ht="9.75" customHeight="1" x14ac:dyDescent="0.2">
      <c r="A190" s="38"/>
      <c r="B190" s="41"/>
      <c r="C190" s="173"/>
      <c r="D190" s="43"/>
      <c r="E190" s="27"/>
      <c r="F190" s="21"/>
      <c r="G190" s="21"/>
    </row>
    <row r="191" spans="1:7" x14ac:dyDescent="0.2">
      <c r="A191" s="38"/>
      <c r="B191" s="188" t="s">
        <v>294</v>
      </c>
      <c r="C191" s="189"/>
      <c r="D191" s="190"/>
      <c r="E191" s="190"/>
      <c r="F191" s="191"/>
      <c r="G191" s="192">
        <f>G189+G186+G180+G162+G154+G151+G146+G136+G132</f>
        <v>31341.987404719996</v>
      </c>
    </row>
    <row r="192" spans="1:7" ht="9.75" customHeight="1" x14ac:dyDescent="0.2">
      <c r="A192" s="38"/>
      <c r="B192" s="194"/>
      <c r="C192" s="194"/>
      <c r="D192" s="195"/>
      <c r="E192" s="195"/>
      <c r="F192" s="195"/>
      <c r="G192" s="199"/>
    </row>
    <row r="193" spans="1:9" x14ac:dyDescent="0.2">
      <c r="A193" s="86"/>
      <c r="B193" s="98" t="s">
        <v>180</v>
      </c>
      <c r="C193" s="99"/>
      <c r="D193" s="100"/>
      <c r="E193" s="100"/>
      <c r="F193" s="100"/>
      <c r="G193" s="101"/>
    </row>
    <row r="194" spans="1:9" ht="11.25" customHeight="1" x14ac:dyDescent="0.2">
      <c r="A194" s="38"/>
      <c r="B194" s="41"/>
      <c r="C194" s="41"/>
      <c r="D194" s="27"/>
      <c r="E194" s="27"/>
      <c r="F194" s="21"/>
      <c r="G194" s="21"/>
    </row>
    <row r="195" spans="1:9" x14ac:dyDescent="0.2">
      <c r="A195" s="38"/>
      <c r="B195" s="62" t="s">
        <v>104</v>
      </c>
      <c r="C195" s="74"/>
      <c r="D195" s="114"/>
      <c r="E195" s="115"/>
      <c r="F195" s="116"/>
      <c r="G195" s="139">
        <f>G132</f>
        <v>4390.1899999999996</v>
      </c>
    </row>
    <row r="196" spans="1:9" ht="11.25" customHeight="1" x14ac:dyDescent="0.2">
      <c r="A196" s="38"/>
      <c r="B196" s="102"/>
      <c r="C196" s="102"/>
      <c r="D196" s="128"/>
      <c r="E196" s="38"/>
      <c r="F196" s="97"/>
      <c r="G196" s="38"/>
    </row>
    <row r="197" spans="1:9" x14ac:dyDescent="0.2">
      <c r="A197" s="38"/>
      <c r="B197" s="62" t="s">
        <v>111</v>
      </c>
      <c r="C197" s="115"/>
      <c r="D197" s="115"/>
      <c r="E197" s="115"/>
      <c r="F197" s="115"/>
      <c r="G197" s="197">
        <f>G136</f>
        <v>2426.67</v>
      </c>
    </row>
    <row r="198" spans="1:9" ht="11.25" customHeight="1" x14ac:dyDescent="0.2">
      <c r="A198" s="38"/>
      <c r="B198" s="41"/>
      <c r="C198" s="173"/>
      <c r="D198" s="43"/>
      <c r="E198" s="27"/>
      <c r="F198" s="21"/>
      <c r="G198" s="21"/>
    </row>
    <row r="199" spans="1:9" x14ac:dyDescent="0.2">
      <c r="A199" s="38"/>
      <c r="B199" s="62" t="s">
        <v>158</v>
      </c>
      <c r="C199" s="115"/>
      <c r="D199" s="115"/>
      <c r="E199" s="115"/>
      <c r="F199" s="115"/>
      <c r="G199" s="197">
        <f>G186+G189</f>
        <v>839.47</v>
      </c>
    </row>
    <row r="200" spans="1:9" ht="11.25" customHeight="1" x14ac:dyDescent="0.2">
      <c r="A200" s="38"/>
      <c r="B200" s="41"/>
      <c r="C200" s="173"/>
      <c r="D200" s="43"/>
      <c r="E200" s="27"/>
      <c r="F200" s="21"/>
      <c r="G200" s="21"/>
    </row>
    <row r="201" spans="1:9" x14ac:dyDescent="0.2">
      <c r="A201" s="38"/>
      <c r="B201" s="62" t="s">
        <v>295</v>
      </c>
      <c r="C201" s="198"/>
      <c r="D201" s="115"/>
      <c r="E201" s="115"/>
      <c r="F201" s="126"/>
      <c r="G201" s="127">
        <f>G195+G197+G199</f>
        <v>7656.33</v>
      </c>
    </row>
    <row r="202" spans="1:9" ht="11.25" customHeight="1" x14ac:dyDescent="0.2">
      <c r="A202" s="38"/>
      <c r="B202" s="194"/>
      <c r="C202" s="194"/>
      <c r="D202" s="195"/>
      <c r="E202" s="195"/>
      <c r="F202" s="195"/>
      <c r="G202" s="199"/>
    </row>
    <row r="203" spans="1:9" x14ac:dyDescent="0.2">
      <c r="A203" s="38"/>
      <c r="B203" s="62" t="s">
        <v>296</v>
      </c>
      <c r="C203" s="115"/>
      <c r="D203" s="115"/>
      <c r="E203" s="115"/>
      <c r="F203" s="115"/>
      <c r="G203" s="197">
        <v>0.1</v>
      </c>
    </row>
    <row r="204" spans="1:9" ht="11.25" customHeight="1" x14ac:dyDescent="0.2">
      <c r="A204" s="38"/>
      <c r="B204" s="41"/>
      <c r="C204" s="173"/>
      <c r="D204" s="43"/>
      <c r="E204" s="27"/>
      <c r="F204" s="21"/>
      <c r="G204" s="21"/>
    </row>
    <row r="205" spans="1:9" x14ac:dyDescent="0.2">
      <c r="A205" s="200"/>
      <c r="B205" s="98" t="s">
        <v>297</v>
      </c>
      <c r="C205" s="189"/>
      <c r="D205" s="190"/>
      <c r="E205" s="190"/>
      <c r="F205" s="191"/>
      <c r="G205" s="192">
        <f>G201*G203</f>
        <v>765.63300000000004</v>
      </c>
      <c r="I205" s="42">
        <f>+SUM(G195:G201)</f>
        <v>15312.66</v>
      </c>
    </row>
    <row r="206" spans="1:9" ht="15.75" x14ac:dyDescent="0.25">
      <c r="A206" s="38"/>
      <c r="B206" s="193"/>
      <c r="C206" s="194"/>
      <c r="D206" s="195"/>
      <c r="E206" s="195"/>
      <c r="F206" s="195"/>
      <c r="G206" s="196"/>
      <c r="I206" s="28">
        <f>+I205*0.1</f>
        <v>1531.2660000000001</v>
      </c>
    </row>
    <row r="207" spans="1:9" x14ac:dyDescent="0.2">
      <c r="A207" s="38"/>
      <c r="B207" s="98" t="s">
        <v>286</v>
      </c>
      <c r="C207" s="99"/>
      <c r="D207" s="100"/>
      <c r="E207" s="100"/>
      <c r="F207" s="100"/>
      <c r="G207" s="101"/>
    </row>
    <row r="208" spans="1:9" ht="11.25" customHeight="1" x14ac:dyDescent="0.2">
      <c r="A208" s="38"/>
      <c r="B208" s="102"/>
      <c r="C208" s="102"/>
      <c r="D208" s="38"/>
      <c r="E208" s="27"/>
      <c r="F208" s="38"/>
      <c r="G208" s="27"/>
    </row>
    <row r="209" spans="1:7" x14ac:dyDescent="0.2">
      <c r="A209" s="38"/>
      <c r="B209" s="158" t="s">
        <v>165</v>
      </c>
      <c r="C209" s="203">
        <v>24</v>
      </c>
      <c r="D209" s="90" t="s">
        <v>85</v>
      </c>
      <c r="E209" s="27"/>
      <c r="F209" s="38"/>
      <c r="G209" s="27"/>
    </row>
    <row r="210" spans="1:7" x14ac:dyDescent="0.2">
      <c r="A210" s="38"/>
      <c r="B210" s="158" t="s">
        <v>166</v>
      </c>
      <c r="C210" s="91">
        <v>1.1000000000000001</v>
      </c>
      <c r="D210" s="91" t="s">
        <v>168</v>
      </c>
      <c r="E210" s="27"/>
      <c r="F210" s="38"/>
      <c r="G210" s="27"/>
    </row>
    <row r="211" spans="1:7" x14ac:dyDescent="0.2">
      <c r="A211" s="38"/>
      <c r="B211" s="158" t="s">
        <v>167</v>
      </c>
      <c r="C211" s="91"/>
      <c r="D211" s="956">
        <f>C214</f>
        <v>1133.4802500000001</v>
      </c>
      <c r="E211" s="957">
        <f>D211*C210</f>
        <v>1246.8282750000001</v>
      </c>
      <c r="F211" s="38"/>
      <c r="G211" s="27"/>
    </row>
    <row r="212" spans="1:7" ht="11.25" customHeight="1" x14ac:dyDescent="0.2">
      <c r="A212" s="38"/>
      <c r="B212" s="102"/>
      <c r="C212" s="102"/>
      <c r="D212" s="38"/>
      <c r="E212" s="27"/>
      <c r="F212" s="38"/>
      <c r="G212" s="27"/>
    </row>
    <row r="213" spans="1:7" x14ac:dyDescent="0.2">
      <c r="A213" s="38"/>
      <c r="B213" s="744" t="s">
        <v>104</v>
      </c>
      <c r="C213" s="745"/>
      <c r="D213" s="745"/>
      <c r="E213" s="745"/>
      <c r="F213" s="745"/>
      <c r="G213" s="746"/>
    </row>
    <row r="214" spans="1:7" x14ac:dyDescent="0.2">
      <c r="A214" s="38"/>
      <c r="B214" s="118" t="s">
        <v>511</v>
      </c>
      <c r="C214" s="955">
        <f>1117.5*$J$17</f>
        <v>1133.4802500000001</v>
      </c>
      <c r="D214" s="119" t="s">
        <v>162</v>
      </c>
      <c r="E214" s="119" t="s">
        <v>107</v>
      </c>
      <c r="F214" s="119" t="s">
        <v>48</v>
      </c>
      <c r="G214" s="119" t="s">
        <v>108</v>
      </c>
    </row>
    <row r="215" spans="1:7" x14ac:dyDescent="0.2">
      <c r="A215" s="38"/>
      <c r="B215" s="118"/>
      <c r="C215" s="65"/>
      <c r="D215" s="120"/>
      <c r="E215" s="120"/>
      <c r="F215" s="120"/>
      <c r="G215" s="120"/>
    </row>
    <row r="216" spans="1:7" x14ac:dyDescent="0.2">
      <c r="A216" s="38"/>
      <c r="B216" s="118"/>
      <c r="C216" s="121"/>
      <c r="D216" s="954">
        <f>C214</f>
        <v>1133.4802500000001</v>
      </c>
      <c r="E216" s="123">
        <v>0</v>
      </c>
      <c r="F216" s="124">
        <v>24</v>
      </c>
      <c r="G216" s="65">
        <v>1.1000000000000001</v>
      </c>
    </row>
    <row r="217" spans="1:7" x14ac:dyDescent="0.2">
      <c r="A217" s="38"/>
      <c r="B217" s="102"/>
      <c r="C217" s="102"/>
      <c r="D217" s="125" t="s">
        <v>86</v>
      </c>
      <c r="E217" s="126"/>
      <c r="F217" s="65">
        <f>ROUND((D216*(1-E216))/F216,2)</f>
        <v>47.23</v>
      </c>
      <c r="G217" s="127">
        <f>F217*G216</f>
        <v>51.953000000000003</v>
      </c>
    </row>
    <row r="218" spans="1:7" ht="11.25" customHeight="1" x14ac:dyDescent="0.2">
      <c r="A218" s="38"/>
      <c r="B218" s="102"/>
      <c r="C218" s="102"/>
      <c r="D218" s="128"/>
      <c r="E218" s="38"/>
      <c r="F218" s="97"/>
      <c r="G218" s="38"/>
    </row>
    <row r="219" spans="1:7" x14ac:dyDescent="0.2">
      <c r="A219" s="38"/>
      <c r="B219" s="744" t="s">
        <v>111</v>
      </c>
      <c r="C219" s="745"/>
      <c r="D219" s="745"/>
      <c r="E219" s="745"/>
      <c r="F219" s="745"/>
      <c r="G219" s="746"/>
    </row>
    <row r="220" spans="1:7" x14ac:dyDescent="0.2">
      <c r="A220" s="38"/>
      <c r="B220" s="66" t="s">
        <v>112</v>
      </c>
      <c r="C220" s="126"/>
      <c r="D220" s="130" t="s">
        <v>113</v>
      </c>
      <c r="E220" s="65">
        <f>ROUND(((E223)*(E224+1)/(2*E224)),2)</f>
        <v>567.24</v>
      </c>
      <c r="F220" s="119" t="s">
        <v>108</v>
      </c>
      <c r="G220" s="119" t="s">
        <v>86</v>
      </c>
    </row>
    <row r="221" spans="1:7" x14ac:dyDescent="0.2">
      <c r="A221" s="38"/>
      <c r="B221" s="66" t="s">
        <v>114</v>
      </c>
      <c r="C221" s="126"/>
      <c r="D221" s="130" t="s">
        <v>115</v>
      </c>
      <c r="E221" s="65">
        <f>ROUND((E220*E225)/(E226),2)</f>
        <v>4.7300000000000004</v>
      </c>
      <c r="F221" s="122">
        <v>1.1000000000000001</v>
      </c>
      <c r="G221" s="127">
        <f>E221*F221</f>
        <v>5.2030000000000012</v>
      </c>
    </row>
    <row r="222" spans="1:7" x14ac:dyDescent="0.2">
      <c r="A222" s="38"/>
      <c r="B222" s="102"/>
      <c r="C222" s="41"/>
      <c r="D222" s="27"/>
      <c r="E222" s="38"/>
      <c r="F222" s="38"/>
      <c r="G222" s="38"/>
    </row>
    <row r="223" spans="1:7" x14ac:dyDescent="0.2">
      <c r="A223" s="38"/>
      <c r="B223" s="130" t="s">
        <v>116</v>
      </c>
      <c r="C223" s="131" t="s">
        <v>193</v>
      </c>
      <c r="D223" s="130" t="s">
        <v>116</v>
      </c>
      <c r="E223" s="65">
        <f>C214</f>
        <v>1133.4802500000001</v>
      </c>
      <c r="F223" s="38"/>
      <c r="G223" s="38"/>
    </row>
    <row r="224" spans="1:7" x14ac:dyDescent="0.2">
      <c r="A224" s="38"/>
      <c r="B224" s="130" t="s">
        <v>118</v>
      </c>
      <c r="C224" s="64" t="s">
        <v>119</v>
      </c>
      <c r="D224" s="130" t="s">
        <v>118</v>
      </c>
      <c r="E224" s="201">
        <f>D211</f>
        <v>1133.4802500000001</v>
      </c>
      <c r="F224" s="38"/>
      <c r="G224" s="38"/>
    </row>
    <row r="225" spans="1:7" x14ac:dyDescent="0.2">
      <c r="A225" s="38"/>
      <c r="B225" s="130" t="s">
        <v>120</v>
      </c>
      <c r="C225" s="64" t="s">
        <v>121</v>
      </c>
      <c r="D225" s="130" t="s">
        <v>120</v>
      </c>
      <c r="E225" s="351">
        <v>0.1</v>
      </c>
      <c r="F225" s="38"/>
      <c r="G225" s="132"/>
    </row>
    <row r="226" spans="1:7" x14ac:dyDescent="0.2">
      <c r="A226" s="38"/>
      <c r="B226" s="130" t="s">
        <v>122</v>
      </c>
      <c r="C226" s="64" t="s">
        <v>123</v>
      </c>
      <c r="D226" s="130" t="s">
        <v>122</v>
      </c>
      <c r="E226" s="64">
        <v>12</v>
      </c>
      <c r="F226" s="38"/>
      <c r="G226" s="22"/>
    </row>
    <row r="227" spans="1:7" ht="11.25" customHeight="1" x14ac:dyDescent="0.2">
      <c r="A227" s="38"/>
      <c r="B227" s="102"/>
      <c r="C227" s="102"/>
      <c r="D227" s="38"/>
      <c r="E227" s="27"/>
      <c r="F227" s="27"/>
      <c r="G227" s="27"/>
    </row>
    <row r="228" spans="1:7" x14ac:dyDescent="0.2">
      <c r="A228" s="38"/>
      <c r="B228" s="744" t="s">
        <v>124</v>
      </c>
      <c r="C228" s="745"/>
      <c r="D228" s="745"/>
      <c r="E228" s="745"/>
      <c r="F228" s="745"/>
      <c r="G228" s="746"/>
    </row>
    <row r="229" spans="1:7" x14ac:dyDescent="0.2">
      <c r="A229" s="38"/>
      <c r="B229" s="118" t="s">
        <v>125</v>
      </c>
      <c r="C229" s="65">
        <f>D211</f>
        <v>1133.4802500000001</v>
      </c>
      <c r="D229" s="119" t="s">
        <v>163</v>
      </c>
      <c r="E229" s="119" t="s">
        <v>126</v>
      </c>
      <c r="F229" s="119" t="s">
        <v>48</v>
      </c>
      <c r="G229" s="119" t="s">
        <v>108</v>
      </c>
    </row>
    <row r="230" spans="1:7" x14ac:dyDescent="0.2">
      <c r="A230" s="38"/>
      <c r="B230" s="118"/>
      <c r="C230" s="121">
        <v>0</v>
      </c>
      <c r="D230" s="122">
        <f>C229</f>
        <v>1133.4802500000001</v>
      </c>
      <c r="E230" s="22">
        <v>0.7</v>
      </c>
      <c r="F230" s="124">
        <v>24</v>
      </c>
      <c r="G230" s="65">
        <v>1.1000000000000001</v>
      </c>
    </row>
    <row r="231" spans="1:7" ht="11.25" customHeight="1" x14ac:dyDescent="0.2">
      <c r="A231" s="38"/>
      <c r="B231" s="102"/>
      <c r="C231" s="102"/>
      <c r="D231" s="125" t="s">
        <v>86</v>
      </c>
      <c r="E231" s="126"/>
      <c r="F231" s="65">
        <f>ROUND(D230*E230/F230,2)</f>
        <v>33.06</v>
      </c>
      <c r="G231" s="127">
        <f>F231*G230</f>
        <v>36.366000000000007</v>
      </c>
    </row>
    <row r="232" spans="1:7" x14ac:dyDescent="0.2">
      <c r="A232" s="38"/>
      <c r="B232" s="102"/>
      <c r="C232" s="102"/>
      <c r="D232" s="128"/>
      <c r="E232" s="38"/>
      <c r="F232" s="21"/>
      <c r="G232" s="134"/>
    </row>
    <row r="233" spans="1:7" x14ac:dyDescent="0.2">
      <c r="A233" s="38"/>
      <c r="B233" s="188" t="s">
        <v>298</v>
      </c>
      <c r="C233" s="189"/>
      <c r="D233" s="190"/>
      <c r="E233" s="190"/>
      <c r="F233" s="191"/>
      <c r="G233" s="192">
        <f>G231+G221+G217</f>
        <v>93.52200000000002</v>
      </c>
    </row>
    <row r="234" spans="1:7" x14ac:dyDescent="0.2">
      <c r="A234" s="38"/>
      <c r="B234" s="102"/>
      <c r="C234" s="102"/>
      <c r="D234" s="38"/>
      <c r="E234" s="27"/>
      <c r="F234" s="38"/>
      <c r="G234" s="27"/>
    </row>
    <row r="235" spans="1:7" x14ac:dyDescent="0.2">
      <c r="A235" s="38"/>
      <c r="B235" s="98" t="s">
        <v>287</v>
      </c>
      <c r="C235" s="99"/>
      <c r="D235" s="100"/>
      <c r="E235" s="100"/>
      <c r="F235" s="100"/>
      <c r="G235" s="101"/>
    </row>
    <row r="236" spans="1:7" x14ac:dyDescent="0.2">
      <c r="A236" s="38"/>
      <c r="B236" s="102"/>
      <c r="C236" s="102"/>
      <c r="D236" s="38"/>
      <c r="E236" s="27"/>
      <c r="F236" s="38"/>
      <c r="G236" s="27"/>
    </row>
    <row r="237" spans="1:7" x14ac:dyDescent="0.2">
      <c r="A237" s="38"/>
      <c r="B237" s="158" t="s">
        <v>165</v>
      </c>
      <c r="C237" s="203">
        <v>12</v>
      </c>
      <c r="D237" s="90" t="s">
        <v>85</v>
      </c>
      <c r="E237" s="27"/>
      <c r="F237" s="38"/>
      <c r="G237" s="27"/>
    </row>
    <row r="238" spans="1:7" x14ac:dyDescent="0.2">
      <c r="A238" s="38"/>
      <c r="B238" s="158" t="s">
        <v>166</v>
      </c>
      <c r="C238" s="91">
        <v>2</v>
      </c>
      <c r="D238" s="91" t="s">
        <v>168</v>
      </c>
      <c r="E238" s="27"/>
      <c r="F238" s="38"/>
      <c r="G238" s="27"/>
    </row>
    <row r="239" spans="1:7" x14ac:dyDescent="0.2">
      <c r="A239" s="38"/>
      <c r="B239" s="158" t="s">
        <v>167</v>
      </c>
      <c r="C239" s="91"/>
      <c r="D239" s="956">
        <f>372.5*$J$17</f>
        <v>377.82675</v>
      </c>
      <c r="E239" s="957">
        <f>C238*D239</f>
        <v>755.65350000000001</v>
      </c>
      <c r="F239" s="38"/>
      <c r="G239" s="27"/>
    </row>
    <row r="240" spans="1:7" x14ac:dyDescent="0.2">
      <c r="A240" s="38"/>
      <c r="B240" s="102"/>
      <c r="C240" s="102"/>
      <c r="D240" s="38"/>
      <c r="E240" s="27"/>
      <c r="F240" s="38"/>
      <c r="G240" s="27"/>
    </row>
    <row r="241" spans="1:18" x14ac:dyDescent="0.2">
      <c r="A241" s="38"/>
      <c r="B241" s="744" t="s">
        <v>169</v>
      </c>
      <c r="C241" s="745"/>
      <c r="D241" s="745"/>
      <c r="E241" s="745"/>
      <c r="F241" s="745"/>
      <c r="G241" s="746"/>
    </row>
    <row r="242" spans="1:18" x14ac:dyDescent="0.2">
      <c r="A242" s="38"/>
      <c r="B242" s="118" t="s">
        <v>125</v>
      </c>
      <c r="C242" s="955">
        <f>D239</f>
        <v>377.82675</v>
      </c>
      <c r="D242" s="119" t="s">
        <v>163</v>
      </c>
      <c r="E242" s="119" t="s">
        <v>126</v>
      </c>
      <c r="F242" s="119" t="s">
        <v>48</v>
      </c>
      <c r="G242" s="119" t="s">
        <v>108</v>
      </c>
    </row>
    <row r="243" spans="1:18" x14ac:dyDescent="0.2">
      <c r="A243" s="38"/>
      <c r="B243" s="118"/>
      <c r="C243" s="121">
        <v>0</v>
      </c>
      <c r="D243" s="954">
        <f>C242</f>
        <v>377.82675</v>
      </c>
      <c r="E243" s="22">
        <v>1</v>
      </c>
      <c r="F243" s="124">
        <v>12</v>
      </c>
      <c r="G243" s="65">
        <v>2</v>
      </c>
    </row>
    <row r="244" spans="1:18" x14ac:dyDescent="0.2">
      <c r="A244" s="38"/>
      <c r="B244" s="102"/>
      <c r="C244" s="102"/>
      <c r="D244" s="125" t="s">
        <v>86</v>
      </c>
      <c r="E244" s="126"/>
      <c r="F244" s="65">
        <f>ROUND(D243*E243/F243,2)</f>
        <v>31.49</v>
      </c>
      <c r="G244" s="127">
        <f>F244*G243</f>
        <v>62.98</v>
      </c>
    </row>
    <row r="245" spans="1:18" x14ac:dyDescent="0.2">
      <c r="A245" s="38"/>
      <c r="B245" s="102"/>
      <c r="C245" s="102"/>
      <c r="D245" s="128"/>
      <c r="E245" s="38"/>
      <c r="F245" s="21"/>
      <c r="G245" s="134"/>
    </row>
    <row r="246" spans="1:18" x14ac:dyDescent="0.2">
      <c r="A246" s="38"/>
      <c r="B246" s="188" t="s">
        <v>299</v>
      </c>
      <c r="C246" s="189"/>
      <c r="D246" s="190"/>
      <c r="E246" s="190"/>
      <c r="F246" s="191"/>
      <c r="G246" s="192">
        <f>G244</f>
        <v>62.98</v>
      </c>
    </row>
    <row r="247" spans="1:18" ht="12.75" customHeight="1" x14ac:dyDescent="0.2">
      <c r="A247" s="38"/>
      <c r="B247" s="102"/>
      <c r="C247" s="102"/>
      <c r="D247" s="38"/>
      <c r="E247" s="27"/>
      <c r="F247" s="38"/>
      <c r="G247" s="27"/>
      <c r="K247" s="743" t="s">
        <v>389</v>
      </c>
      <c r="L247" s="743"/>
      <c r="M247" s="743"/>
      <c r="N247" s="743"/>
      <c r="O247" s="743"/>
      <c r="P247" s="743"/>
      <c r="Q247" s="743"/>
      <c r="R247" s="743"/>
    </row>
    <row r="248" spans="1:18" x14ac:dyDescent="0.2">
      <c r="A248" s="38"/>
      <c r="B248" s="80" t="s">
        <v>164</v>
      </c>
      <c r="C248" s="93"/>
      <c r="D248" s="94"/>
      <c r="E248" s="94"/>
      <c r="F248" s="95"/>
      <c r="G248" s="96">
        <f>G246+G205+G191+G124+G110+G233</f>
        <v>40714.599934412996</v>
      </c>
      <c r="K248" s="743"/>
      <c r="L248" s="743"/>
      <c r="M248" s="743"/>
      <c r="N248" s="743"/>
      <c r="O248" s="743"/>
      <c r="P248" s="743"/>
      <c r="Q248" s="743"/>
      <c r="R248" s="743"/>
    </row>
    <row r="249" spans="1:18" ht="12" customHeight="1" x14ac:dyDescent="0.2">
      <c r="A249" s="38"/>
      <c r="B249" s="194"/>
      <c r="C249" s="194"/>
      <c r="D249" s="195"/>
      <c r="E249" s="195"/>
      <c r="F249" s="195"/>
      <c r="G249" s="199"/>
      <c r="H249" s="352"/>
      <c r="K249" s="743"/>
      <c r="L249" s="743"/>
      <c r="M249" s="743"/>
      <c r="N249" s="743"/>
      <c r="O249" s="743"/>
      <c r="P249" s="743"/>
      <c r="Q249" s="743"/>
      <c r="R249" s="743"/>
    </row>
    <row r="250" spans="1:18" x14ac:dyDescent="0.2">
      <c r="A250" s="80" t="s">
        <v>284</v>
      </c>
      <c r="B250" s="81"/>
      <c r="C250" s="82"/>
      <c r="D250" s="83"/>
      <c r="E250" s="84"/>
      <c r="F250" s="83"/>
      <c r="G250" s="85"/>
      <c r="K250" s="743"/>
      <c r="L250" s="743"/>
      <c r="M250" s="743"/>
      <c r="N250" s="743"/>
      <c r="O250" s="743"/>
      <c r="P250" s="743"/>
      <c r="Q250" s="743"/>
      <c r="R250" s="743"/>
    </row>
    <row r="251" spans="1:18" ht="9.75" customHeight="1" x14ac:dyDescent="0.2">
      <c r="A251" s="86"/>
      <c r="B251" s="34"/>
      <c r="C251" s="41"/>
      <c r="D251" s="37"/>
      <c r="E251" s="87"/>
      <c r="F251" s="37"/>
      <c r="G251" s="20"/>
      <c r="K251" s="743"/>
      <c r="L251" s="743"/>
      <c r="M251" s="743"/>
      <c r="N251" s="743"/>
      <c r="O251" s="743"/>
      <c r="P251" s="743"/>
      <c r="Q251" s="743"/>
      <c r="R251" s="743"/>
    </row>
    <row r="252" spans="1:18" x14ac:dyDescent="0.2">
      <c r="A252" s="48"/>
      <c r="B252" s="214" t="s">
        <v>98</v>
      </c>
      <c r="C252" s="76"/>
      <c r="D252" s="53"/>
      <c r="E252" s="56"/>
      <c r="F252" s="88"/>
      <c r="G252" s="56"/>
      <c r="K252" s="743"/>
      <c r="L252" s="743"/>
      <c r="M252" s="743"/>
      <c r="N252" s="743"/>
      <c r="O252" s="743"/>
      <c r="P252" s="743"/>
      <c r="Q252" s="743"/>
      <c r="R252" s="743"/>
    </row>
    <row r="253" spans="1:18" ht="9.75" customHeight="1" x14ac:dyDescent="0.2">
      <c r="A253" s="30"/>
      <c r="B253" s="34"/>
      <c r="C253" s="35"/>
      <c r="D253" s="30"/>
      <c r="E253" s="30"/>
      <c r="F253" s="31"/>
      <c r="G253" s="20"/>
      <c r="K253" s="743"/>
      <c r="L253" s="743"/>
      <c r="M253" s="743"/>
      <c r="N253" s="743"/>
      <c r="O253" s="743"/>
      <c r="P253" s="743"/>
      <c r="Q253" s="743"/>
      <c r="R253" s="743"/>
    </row>
    <row r="254" spans="1:18" x14ac:dyDescent="0.2">
      <c r="A254" s="30"/>
      <c r="B254" s="39" t="s">
        <v>335</v>
      </c>
      <c r="D254" s="58"/>
      <c r="E254" s="30"/>
      <c r="F254" s="31"/>
      <c r="G254" s="20"/>
      <c r="K254" s="743"/>
      <c r="L254" s="743"/>
      <c r="M254" s="743"/>
      <c r="N254" s="743"/>
      <c r="O254" s="743"/>
      <c r="P254" s="743"/>
      <c r="Q254" s="743"/>
      <c r="R254" s="743"/>
    </row>
    <row r="255" spans="1:18" x14ac:dyDescent="0.2">
      <c r="A255" s="30"/>
      <c r="B255" s="89" t="s">
        <v>0</v>
      </c>
      <c r="C255" s="89" t="s">
        <v>2</v>
      </c>
      <c r="D255" s="89" t="s">
        <v>32</v>
      </c>
      <c r="E255" s="90" t="s">
        <v>86</v>
      </c>
      <c r="F255" s="387"/>
      <c r="G255" s="388"/>
      <c r="H255" s="388"/>
      <c r="K255" s="743"/>
      <c r="L255" s="743"/>
      <c r="M255" s="743"/>
      <c r="N255" s="743"/>
      <c r="O255" s="743"/>
      <c r="P255" s="743"/>
      <c r="Q255" s="743"/>
      <c r="R255" s="743"/>
    </row>
    <row r="256" spans="1:18" x14ac:dyDescent="0.2">
      <c r="A256" s="30"/>
      <c r="B256" s="215" t="s">
        <v>194</v>
      </c>
      <c r="C256" s="511">
        <v>2</v>
      </c>
      <c r="D256" s="511"/>
      <c r="E256" s="512">
        <v>2</v>
      </c>
      <c r="F256" s="387"/>
      <c r="G256" s="388"/>
      <c r="H256" s="388"/>
      <c r="K256" s="743"/>
      <c r="L256" s="743"/>
      <c r="M256" s="743"/>
      <c r="N256" s="743"/>
      <c r="O256" s="743"/>
      <c r="P256" s="743"/>
      <c r="Q256" s="743"/>
      <c r="R256" s="743"/>
    </row>
    <row r="257" spans="1:18" x14ac:dyDescent="0.2">
      <c r="A257" s="30"/>
      <c r="B257" s="215" t="s">
        <v>195</v>
      </c>
      <c r="C257" s="511">
        <v>2</v>
      </c>
      <c r="D257" s="511"/>
      <c r="E257" s="512">
        <v>2</v>
      </c>
      <c r="F257" s="387"/>
      <c r="G257" s="388"/>
      <c r="H257" s="388"/>
      <c r="K257" s="386"/>
      <c r="L257" s="386"/>
      <c r="M257" s="386"/>
      <c r="N257" s="386"/>
      <c r="O257" s="386"/>
      <c r="P257" s="386"/>
      <c r="Q257" s="386"/>
      <c r="R257" s="386"/>
    </row>
    <row r="258" spans="1:18" x14ac:dyDescent="0.2">
      <c r="A258" s="30"/>
      <c r="B258" s="215" t="s">
        <v>512</v>
      </c>
      <c r="C258" s="511">
        <v>1</v>
      </c>
      <c r="D258" s="511"/>
      <c r="E258" s="512">
        <v>1</v>
      </c>
      <c r="F258" s="387"/>
      <c r="G258" s="388"/>
      <c r="H258" s="388"/>
      <c r="K258" s="386"/>
      <c r="L258" s="386"/>
      <c r="M258" s="386"/>
      <c r="N258" s="386"/>
      <c r="O258" s="386"/>
      <c r="P258" s="386"/>
      <c r="Q258" s="386"/>
      <c r="R258" s="386"/>
    </row>
    <row r="259" spans="1:18" x14ac:dyDescent="0.2">
      <c r="A259" s="30"/>
      <c r="B259" s="215" t="s">
        <v>196</v>
      </c>
      <c r="C259" s="511">
        <v>8</v>
      </c>
      <c r="D259" s="511"/>
      <c r="E259" s="512">
        <v>12</v>
      </c>
      <c r="F259" s="387"/>
      <c r="G259" s="388"/>
      <c r="H259" s="388"/>
      <c r="K259" s="743" t="s">
        <v>390</v>
      </c>
      <c r="L259" s="743"/>
      <c r="M259" s="743"/>
      <c r="N259" s="743"/>
      <c r="O259" s="743"/>
      <c r="P259" s="743"/>
      <c r="Q259" s="743"/>
      <c r="R259" s="743"/>
    </row>
    <row r="260" spans="1:18" x14ac:dyDescent="0.2">
      <c r="A260" s="30"/>
      <c r="B260" s="215" t="s">
        <v>197</v>
      </c>
      <c r="C260" s="511">
        <v>2</v>
      </c>
      <c r="D260" s="511"/>
      <c r="E260" s="512">
        <v>4</v>
      </c>
      <c r="F260" s="387"/>
      <c r="G260" s="388"/>
      <c r="H260" s="388"/>
      <c r="K260" s="743"/>
      <c r="L260" s="743"/>
      <c r="M260" s="743"/>
      <c r="N260" s="743"/>
      <c r="O260" s="743"/>
      <c r="P260" s="743"/>
      <c r="Q260" s="743"/>
      <c r="R260" s="743"/>
    </row>
    <row r="261" spans="1:18" x14ac:dyDescent="0.2">
      <c r="A261" s="30"/>
      <c r="B261" s="215" t="s">
        <v>198</v>
      </c>
      <c r="C261" s="511">
        <v>2</v>
      </c>
      <c r="D261" s="511"/>
      <c r="E261" s="512">
        <v>2</v>
      </c>
      <c r="F261" s="387"/>
      <c r="G261" s="388"/>
      <c r="H261" s="388"/>
      <c r="K261" s="743"/>
      <c r="L261" s="743"/>
      <c r="M261" s="743"/>
      <c r="N261" s="743"/>
      <c r="O261" s="743"/>
      <c r="P261" s="743"/>
      <c r="Q261" s="743"/>
      <c r="R261" s="743"/>
    </row>
    <row r="262" spans="1:18" x14ac:dyDescent="0.2">
      <c r="A262" s="30"/>
      <c r="B262" s="215" t="s">
        <v>199</v>
      </c>
      <c r="C262" s="511">
        <v>1</v>
      </c>
      <c r="D262" s="511"/>
      <c r="E262" s="512">
        <v>1</v>
      </c>
      <c r="F262" s="387"/>
      <c r="G262" s="388"/>
      <c r="H262" s="388"/>
      <c r="K262" s="743"/>
      <c r="L262" s="743"/>
      <c r="M262" s="743"/>
      <c r="N262" s="743"/>
      <c r="O262" s="743"/>
      <c r="P262" s="743"/>
      <c r="Q262" s="743"/>
      <c r="R262" s="743"/>
    </row>
    <row r="263" spans="1:18" x14ac:dyDescent="0.2">
      <c r="A263" s="30"/>
      <c r="B263" s="215" t="s">
        <v>200</v>
      </c>
      <c r="C263" s="511">
        <v>1</v>
      </c>
      <c r="D263" s="511"/>
      <c r="E263" s="512">
        <v>1</v>
      </c>
      <c r="F263" s="387"/>
      <c r="G263" s="388"/>
      <c r="H263" s="388"/>
      <c r="K263" s="743"/>
      <c r="L263" s="743"/>
      <c r="M263" s="743"/>
      <c r="N263" s="743"/>
      <c r="O263" s="743"/>
      <c r="P263" s="743"/>
      <c r="Q263" s="743"/>
      <c r="R263" s="743"/>
    </row>
    <row r="264" spans="1:18" x14ac:dyDescent="0.2">
      <c r="A264" s="30"/>
      <c r="B264" s="215" t="s">
        <v>201</v>
      </c>
      <c r="C264" s="511">
        <v>1</v>
      </c>
      <c r="D264" s="511"/>
      <c r="E264" s="512">
        <v>1</v>
      </c>
      <c r="F264" s="387"/>
      <c r="G264" s="388"/>
      <c r="H264" s="388"/>
      <c r="K264" s="743"/>
      <c r="L264" s="743"/>
      <c r="M264" s="743"/>
      <c r="N264" s="743"/>
      <c r="O264" s="743"/>
      <c r="P264" s="743"/>
      <c r="Q264" s="743"/>
      <c r="R264" s="743"/>
    </row>
    <row r="265" spans="1:18" x14ac:dyDescent="0.2">
      <c r="A265" s="30"/>
      <c r="B265" s="215" t="s">
        <v>202</v>
      </c>
      <c r="C265" s="511">
        <v>3</v>
      </c>
      <c r="D265" s="511"/>
      <c r="E265" s="512">
        <v>4</v>
      </c>
      <c r="F265" s="387"/>
      <c r="G265" s="388"/>
      <c r="H265" s="388"/>
      <c r="K265" s="743"/>
      <c r="L265" s="743"/>
      <c r="M265" s="743"/>
      <c r="N265" s="743"/>
      <c r="O265" s="743"/>
      <c r="P265" s="743"/>
      <c r="Q265" s="743"/>
      <c r="R265" s="743"/>
    </row>
    <row r="266" spans="1:18" x14ac:dyDescent="0.2">
      <c r="A266" s="30"/>
      <c r="B266" s="215" t="s">
        <v>203</v>
      </c>
      <c r="C266" s="511">
        <v>1</v>
      </c>
      <c r="D266" s="511"/>
      <c r="E266" s="512">
        <v>2</v>
      </c>
      <c r="F266" s="387"/>
      <c r="G266" s="388"/>
      <c r="H266" s="388"/>
      <c r="L266" s="386"/>
      <c r="M266" s="386"/>
      <c r="N266" s="386"/>
      <c r="O266" s="386"/>
      <c r="P266" s="386"/>
      <c r="Q266" s="386"/>
      <c r="R266" s="386"/>
    </row>
    <row r="267" spans="1:18" ht="12.75" customHeight="1" x14ac:dyDescent="0.2">
      <c r="A267" s="30"/>
      <c r="B267" s="215" t="s">
        <v>204</v>
      </c>
      <c r="C267" s="511">
        <v>2</v>
      </c>
      <c r="D267" s="511"/>
      <c r="E267" s="512">
        <v>2</v>
      </c>
      <c r="F267" s="387"/>
      <c r="G267" s="388"/>
      <c r="H267" s="388"/>
      <c r="K267" s="743" t="s">
        <v>391</v>
      </c>
      <c r="L267" s="743"/>
      <c r="M267" s="743"/>
      <c r="N267" s="743"/>
      <c r="O267" s="743"/>
      <c r="P267" s="743"/>
      <c r="Q267" s="743"/>
      <c r="R267" s="743"/>
    </row>
    <row r="268" spans="1:18" x14ac:dyDescent="0.2">
      <c r="A268" s="30"/>
      <c r="B268" s="215" t="s">
        <v>205</v>
      </c>
      <c r="C268" s="511">
        <v>1</v>
      </c>
      <c r="D268" s="511"/>
      <c r="E268" s="512">
        <v>1</v>
      </c>
      <c r="F268" s="387"/>
      <c r="G268" s="388"/>
      <c r="H268" s="388"/>
      <c r="K268" s="743"/>
      <c r="L268" s="743"/>
      <c r="M268" s="743"/>
      <c r="N268" s="743"/>
      <c r="O268" s="743"/>
      <c r="P268" s="743"/>
      <c r="Q268" s="743"/>
      <c r="R268" s="743"/>
    </row>
    <row r="269" spans="1:18" x14ac:dyDescent="0.2">
      <c r="A269" s="30"/>
      <c r="B269" s="215" t="s">
        <v>206</v>
      </c>
      <c r="C269" s="511">
        <v>2</v>
      </c>
      <c r="D269" s="511"/>
      <c r="E269" s="512">
        <v>2</v>
      </c>
      <c r="F269" s="387"/>
      <c r="G269" s="388"/>
      <c r="H269" s="388"/>
      <c r="K269" s="743"/>
      <c r="L269" s="743"/>
      <c r="M269" s="743"/>
      <c r="N269" s="743"/>
      <c r="O269" s="743"/>
      <c r="P269" s="743"/>
      <c r="Q269" s="743"/>
      <c r="R269" s="743"/>
    </row>
    <row r="270" spans="1:18" x14ac:dyDescent="0.2">
      <c r="A270" s="30"/>
      <c r="B270" s="215" t="s">
        <v>207</v>
      </c>
      <c r="C270" s="511">
        <v>1</v>
      </c>
      <c r="D270" s="511"/>
      <c r="E270" s="512">
        <v>1</v>
      </c>
      <c r="F270" s="387"/>
      <c r="G270" s="388"/>
      <c r="H270" s="388"/>
      <c r="K270" s="743"/>
      <c r="L270" s="743"/>
      <c r="M270" s="743"/>
      <c r="N270" s="743"/>
      <c r="O270" s="743"/>
      <c r="P270" s="743"/>
      <c r="Q270" s="743"/>
      <c r="R270" s="743"/>
    </row>
    <row r="271" spans="1:18" x14ac:dyDescent="0.2">
      <c r="A271" s="30"/>
      <c r="B271" s="215" t="s">
        <v>208</v>
      </c>
      <c r="C271" s="511">
        <v>3</v>
      </c>
      <c r="D271" s="511"/>
      <c r="E271" s="512">
        <v>4</v>
      </c>
      <c r="F271" s="387"/>
      <c r="G271" s="388"/>
      <c r="H271" s="388"/>
      <c r="K271" s="386"/>
      <c r="L271" s="386"/>
      <c r="M271" s="386"/>
      <c r="N271" s="386"/>
      <c r="O271" s="386"/>
      <c r="P271" s="386"/>
      <c r="Q271" s="386"/>
      <c r="R271" s="386"/>
    </row>
    <row r="272" spans="1:18" x14ac:dyDescent="0.2">
      <c r="A272" s="30"/>
      <c r="B272" s="215" t="s">
        <v>209</v>
      </c>
      <c r="C272" s="511">
        <v>1</v>
      </c>
      <c r="D272" s="511"/>
      <c r="E272" s="512">
        <v>1</v>
      </c>
      <c r="F272" s="387"/>
      <c r="G272" s="388"/>
      <c r="H272" s="388"/>
      <c r="K272" s="386"/>
      <c r="L272" s="386"/>
      <c r="M272" s="386"/>
      <c r="N272" s="386"/>
      <c r="O272" s="386"/>
      <c r="P272" s="386"/>
      <c r="Q272" s="386"/>
      <c r="R272" s="386"/>
    </row>
    <row r="273" spans="1:18" x14ac:dyDescent="0.2">
      <c r="A273" s="30"/>
      <c r="B273" s="215" t="s">
        <v>210</v>
      </c>
      <c r="C273" s="511">
        <v>1</v>
      </c>
      <c r="D273" s="511"/>
      <c r="E273" s="512">
        <v>1</v>
      </c>
      <c r="F273" s="387"/>
      <c r="G273" s="388"/>
      <c r="H273" s="388"/>
      <c r="K273" s="386"/>
      <c r="L273" s="386"/>
      <c r="M273" s="386"/>
      <c r="N273" s="386"/>
      <c r="O273" s="386"/>
      <c r="P273" s="386"/>
      <c r="Q273" s="386"/>
      <c r="R273" s="386"/>
    </row>
    <row r="274" spans="1:18" x14ac:dyDescent="0.2">
      <c r="A274" s="30"/>
      <c r="B274" s="215" t="s">
        <v>516</v>
      </c>
      <c r="C274" s="511">
        <v>1</v>
      </c>
      <c r="D274" s="511"/>
      <c r="E274" s="512">
        <v>1</v>
      </c>
      <c r="F274" s="387"/>
      <c r="G274" s="388"/>
      <c r="H274" s="388"/>
      <c r="K274" s="386"/>
      <c r="L274" s="386"/>
      <c r="M274" s="386"/>
      <c r="N274" s="386"/>
      <c r="O274" s="386"/>
      <c r="P274" s="386"/>
      <c r="Q274" s="386"/>
      <c r="R274" s="386"/>
    </row>
    <row r="275" spans="1:18" ht="11.25" customHeight="1" x14ac:dyDescent="0.2">
      <c r="A275" s="30"/>
      <c r="B275" s="34"/>
      <c r="C275" s="513"/>
      <c r="D275" s="514" t="s">
        <v>86</v>
      </c>
      <c r="E275" s="514">
        <f>SUM(E256:E274)</f>
        <v>45</v>
      </c>
      <c r="F275" s="31"/>
      <c r="G275" s="20"/>
    </row>
    <row r="276" spans="1:18" ht="11.25" customHeight="1" x14ac:dyDescent="0.2">
      <c r="A276" s="30"/>
      <c r="B276" s="39" t="s">
        <v>336</v>
      </c>
      <c r="D276" s="58"/>
      <c r="E276" s="30"/>
      <c r="F276" s="31"/>
      <c r="G276" s="20"/>
    </row>
    <row r="277" spans="1:18" ht="11.25" customHeight="1" x14ac:dyDescent="0.2">
      <c r="A277" s="30"/>
      <c r="B277" s="89" t="s">
        <v>0</v>
      </c>
      <c r="C277" s="89" t="s">
        <v>2</v>
      </c>
      <c r="D277" s="90" t="s">
        <v>86</v>
      </c>
      <c r="F277" s="31"/>
      <c r="G277" s="20"/>
    </row>
    <row r="278" spans="1:18" ht="25.5" x14ac:dyDescent="0.2">
      <c r="A278" s="30"/>
      <c r="B278" s="301" t="s">
        <v>517</v>
      </c>
      <c r="C278" s="515">
        <v>1</v>
      </c>
      <c r="D278" s="516">
        <f>C278</f>
        <v>1</v>
      </c>
      <c r="F278" s="31"/>
      <c r="G278" s="20"/>
    </row>
    <row r="279" spans="1:18" ht="25.5" x14ac:dyDescent="0.2">
      <c r="A279" s="30"/>
      <c r="B279" s="301" t="s">
        <v>522</v>
      </c>
      <c r="C279" s="515">
        <v>1</v>
      </c>
      <c r="D279" s="516">
        <f>C279</f>
        <v>1</v>
      </c>
      <c r="F279" s="31"/>
      <c r="G279" s="20"/>
    </row>
    <row r="280" spans="1:18" ht="11.25" customHeight="1" x14ac:dyDescent="0.2">
      <c r="A280" s="30"/>
      <c r="B280" s="215" t="s">
        <v>342</v>
      </c>
      <c r="C280" s="511">
        <v>1</v>
      </c>
      <c r="D280" s="512">
        <f>C280</f>
        <v>1</v>
      </c>
      <c r="F280" s="31"/>
      <c r="G280" s="20"/>
    </row>
    <row r="281" spans="1:18" ht="11.25" customHeight="1" x14ac:dyDescent="0.2">
      <c r="A281" s="30"/>
      <c r="B281" s="215" t="s">
        <v>30</v>
      </c>
      <c r="C281" s="511">
        <v>1</v>
      </c>
      <c r="D281" s="512">
        <f>C281</f>
        <v>1</v>
      </c>
      <c r="F281" s="31"/>
      <c r="G281" s="20"/>
    </row>
    <row r="282" spans="1:18" ht="11.25" hidden="1" customHeight="1" x14ac:dyDescent="0.2">
      <c r="A282" s="30"/>
      <c r="B282" s="215" t="s">
        <v>201</v>
      </c>
      <c r="C282" s="511"/>
      <c r="D282" s="512">
        <f t="shared" ref="D282:D291" si="3">C282</f>
        <v>0</v>
      </c>
      <c r="F282" s="31"/>
      <c r="G282" s="20"/>
    </row>
    <row r="283" spans="1:18" ht="11.25" hidden="1" customHeight="1" x14ac:dyDescent="0.2">
      <c r="A283" s="30"/>
      <c r="B283" s="215" t="s">
        <v>202</v>
      </c>
      <c r="C283" s="511"/>
      <c r="D283" s="512">
        <f t="shared" si="3"/>
        <v>0</v>
      </c>
      <c r="F283" s="31"/>
      <c r="G283" s="20"/>
    </row>
    <row r="284" spans="1:18" ht="11.25" hidden="1" customHeight="1" x14ac:dyDescent="0.2">
      <c r="A284" s="30"/>
      <c r="B284" s="215" t="s">
        <v>203</v>
      </c>
      <c r="C284" s="511"/>
      <c r="D284" s="512">
        <f t="shared" si="3"/>
        <v>0</v>
      </c>
      <c r="F284" s="31"/>
      <c r="G284" s="20"/>
    </row>
    <row r="285" spans="1:18" ht="11.25" hidden="1" customHeight="1" x14ac:dyDescent="0.2">
      <c r="A285" s="30"/>
      <c r="B285" s="215" t="s">
        <v>204</v>
      </c>
      <c r="C285" s="511"/>
      <c r="D285" s="512">
        <f t="shared" si="3"/>
        <v>0</v>
      </c>
      <c r="F285" s="31"/>
      <c r="G285" s="20"/>
    </row>
    <row r="286" spans="1:18" ht="11.25" hidden="1" customHeight="1" x14ac:dyDescent="0.2">
      <c r="A286" s="30"/>
      <c r="B286" s="215" t="s">
        <v>205</v>
      </c>
      <c r="C286" s="511"/>
      <c r="D286" s="512">
        <f t="shared" si="3"/>
        <v>0</v>
      </c>
      <c r="F286" s="31"/>
      <c r="G286" s="20"/>
    </row>
    <row r="287" spans="1:18" ht="11.25" hidden="1" customHeight="1" x14ac:dyDescent="0.2">
      <c r="A287" s="30"/>
      <c r="B287" s="215" t="s">
        <v>206</v>
      </c>
      <c r="C287" s="511"/>
      <c r="D287" s="512">
        <f t="shared" si="3"/>
        <v>0</v>
      </c>
      <c r="F287" s="31"/>
      <c r="G287" s="20"/>
    </row>
    <row r="288" spans="1:18" ht="11.25" hidden="1" customHeight="1" x14ac:dyDescent="0.2">
      <c r="A288" s="30"/>
      <c r="B288" s="215" t="s">
        <v>207</v>
      </c>
      <c r="C288" s="511"/>
      <c r="D288" s="512">
        <f t="shared" si="3"/>
        <v>0</v>
      </c>
      <c r="F288" s="31"/>
      <c r="G288" s="20"/>
    </row>
    <row r="289" spans="1:7" ht="11.25" hidden="1" customHeight="1" x14ac:dyDescent="0.2">
      <c r="A289" s="30"/>
      <c r="B289" s="215" t="s">
        <v>208</v>
      </c>
      <c r="C289" s="511"/>
      <c r="D289" s="512">
        <f t="shared" si="3"/>
        <v>0</v>
      </c>
      <c r="F289" s="31"/>
      <c r="G289" s="20"/>
    </row>
    <row r="290" spans="1:7" ht="11.25" hidden="1" customHeight="1" x14ac:dyDescent="0.2">
      <c r="A290" s="30"/>
      <c r="B290" s="215" t="s">
        <v>209</v>
      </c>
      <c r="C290" s="511"/>
      <c r="D290" s="512">
        <f t="shared" si="3"/>
        <v>0</v>
      </c>
      <c r="F290" s="31"/>
      <c r="G290" s="20"/>
    </row>
    <row r="291" spans="1:7" ht="11.25" hidden="1" customHeight="1" x14ac:dyDescent="0.2">
      <c r="A291" s="30"/>
      <c r="B291" s="215" t="s">
        <v>210</v>
      </c>
      <c r="C291" s="511"/>
      <c r="D291" s="512">
        <f t="shared" si="3"/>
        <v>0</v>
      </c>
      <c r="F291" s="31"/>
      <c r="G291" s="20"/>
    </row>
    <row r="292" spans="1:7" ht="11.25" customHeight="1" x14ac:dyDescent="0.2">
      <c r="A292" s="30"/>
      <c r="B292" s="215" t="s">
        <v>333</v>
      </c>
      <c r="C292" s="511">
        <v>1</v>
      </c>
      <c r="D292" s="512">
        <f>C292</f>
        <v>1</v>
      </c>
      <c r="F292" s="31"/>
      <c r="G292" s="20"/>
    </row>
    <row r="293" spans="1:7" ht="11.25" customHeight="1" x14ac:dyDescent="0.2">
      <c r="A293" s="30"/>
      <c r="B293" s="297"/>
      <c r="C293" s="514" t="s">
        <v>86</v>
      </c>
      <c r="D293" s="514">
        <f>SUM(D278:D292)</f>
        <v>5</v>
      </c>
      <c r="F293" s="31"/>
      <c r="G293" s="20"/>
    </row>
    <row r="294" spans="1:7" ht="11.25" customHeight="1" x14ac:dyDescent="0.2">
      <c r="A294" s="30"/>
      <c r="B294" s="298"/>
      <c r="C294" s="299"/>
      <c r="D294" s="299"/>
      <c r="E294" s="300"/>
      <c r="F294" s="31"/>
      <c r="G294" s="20"/>
    </row>
    <row r="295" spans="1:7" x14ac:dyDescent="0.2">
      <c r="A295" s="756" t="s">
        <v>170</v>
      </c>
      <c r="B295" s="757"/>
      <c r="C295" s="757"/>
      <c r="D295" s="757"/>
      <c r="E295" s="757"/>
      <c r="F295" s="757"/>
      <c r="G295" s="758"/>
    </row>
    <row r="296" spans="1:7" x14ac:dyDescent="0.2">
      <c r="A296" s="194"/>
      <c r="B296" s="40"/>
      <c r="C296" s="40"/>
      <c r="D296" s="38"/>
      <c r="E296" s="38"/>
      <c r="F296" s="38"/>
      <c r="G296" s="97"/>
    </row>
    <row r="297" spans="1:7" x14ac:dyDescent="0.2">
      <c r="A297" s="38"/>
      <c r="B297" s="62" t="s">
        <v>186</v>
      </c>
      <c r="C297" s="205"/>
      <c r="D297" s="115"/>
      <c r="E297" s="115"/>
      <c r="F297" s="126"/>
      <c r="G297" s="204">
        <f>G32</f>
        <v>15214.5</v>
      </c>
    </row>
    <row r="298" spans="1:7" x14ac:dyDescent="0.2">
      <c r="A298" s="38"/>
      <c r="B298" s="62" t="s">
        <v>190</v>
      </c>
      <c r="C298" s="205"/>
      <c r="D298" s="115"/>
      <c r="E298" s="115"/>
      <c r="F298" s="126"/>
      <c r="G298" s="204">
        <f>G39</f>
        <v>52743.6</v>
      </c>
    </row>
    <row r="299" spans="1:7" x14ac:dyDescent="0.2">
      <c r="A299" s="38"/>
      <c r="B299" s="62" t="s">
        <v>103</v>
      </c>
      <c r="C299" s="205"/>
      <c r="D299" s="115"/>
      <c r="E299" s="115"/>
      <c r="F299" s="126"/>
      <c r="G299" s="204"/>
    </row>
    <row r="300" spans="1:7" x14ac:dyDescent="0.2">
      <c r="A300" s="38"/>
      <c r="B300" s="759" t="s">
        <v>327</v>
      </c>
      <c r="C300" s="760"/>
      <c r="D300" s="760"/>
      <c r="E300" s="760"/>
      <c r="F300" s="761"/>
      <c r="G300" s="765">
        <f>G205+G191+G124+G110</f>
        <v>40558.097934412996</v>
      </c>
    </row>
    <row r="301" spans="1:7" x14ac:dyDescent="0.2">
      <c r="A301" s="38"/>
      <c r="B301" s="762"/>
      <c r="C301" s="763"/>
      <c r="D301" s="763"/>
      <c r="E301" s="763"/>
      <c r="F301" s="764"/>
      <c r="G301" s="766"/>
    </row>
    <row r="302" spans="1:7" x14ac:dyDescent="0.2">
      <c r="A302" s="38"/>
      <c r="B302" s="762"/>
      <c r="C302" s="763"/>
      <c r="D302" s="763"/>
      <c r="E302" s="763"/>
      <c r="F302" s="764"/>
      <c r="G302" s="767"/>
    </row>
    <row r="303" spans="1:7" x14ac:dyDescent="0.2">
      <c r="A303" s="38"/>
      <c r="B303" s="62" t="s">
        <v>322</v>
      </c>
      <c r="C303" s="205"/>
      <c r="D303" s="115"/>
      <c r="E303" s="115"/>
      <c r="F303" s="126"/>
      <c r="G303" s="204">
        <f>G233</f>
        <v>93.52200000000002</v>
      </c>
    </row>
    <row r="304" spans="1:7" x14ac:dyDescent="0.2">
      <c r="A304" s="38"/>
      <c r="B304" s="62" t="s">
        <v>323</v>
      </c>
      <c r="C304" s="205"/>
      <c r="D304" s="115"/>
      <c r="E304" s="115"/>
      <c r="F304" s="126"/>
      <c r="G304" s="204">
        <f>G246</f>
        <v>62.98</v>
      </c>
    </row>
    <row r="305" spans="1:13" x14ac:dyDescent="0.2">
      <c r="A305" s="112"/>
      <c r="B305" s="102"/>
      <c r="C305" s="102"/>
      <c r="D305" s="38"/>
      <c r="E305" s="38"/>
      <c r="F305" s="38"/>
      <c r="G305" s="21"/>
    </row>
    <row r="306" spans="1:13" x14ac:dyDescent="0.2">
      <c r="A306" s="80" t="s">
        <v>171</v>
      </c>
      <c r="B306" s="93"/>
      <c r="C306" s="93"/>
      <c r="D306" s="94"/>
      <c r="E306" s="94"/>
      <c r="F306" s="94"/>
      <c r="G306" s="96">
        <f>SUM(G297:G304)</f>
        <v>108672.699934413</v>
      </c>
    </row>
    <row r="307" spans="1:13" ht="13.5" thickBot="1" x14ac:dyDescent="0.25">
      <c r="A307" s="112"/>
      <c r="B307" s="111"/>
      <c r="C307" s="111"/>
      <c r="D307" s="112"/>
      <c r="E307" s="112"/>
      <c r="F307" s="112"/>
      <c r="G307" s="113"/>
    </row>
    <row r="308" spans="1:13" ht="14.25" thickTop="1" thickBot="1" x14ac:dyDescent="0.25">
      <c r="A308" s="206" t="s">
        <v>172</v>
      </c>
      <c r="B308" s="207"/>
      <c r="C308" s="208"/>
      <c r="D308" s="209"/>
      <c r="E308" s="209"/>
      <c r="F308" s="209"/>
      <c r="G308" s="210">
        <v>7800</v>
      </c>
    </row>
    <row r="309" spans="1:13" ht="13.5" thickTop="1" x14ac:dyDescent="0.2">
      <c r="A309" s="27"/>
      <c r="B309" s="41"/>
      <c r="C309" s="41"/>
      <c r="D309" s="27"/>
      <c r="E309" s="27"/>
      <c r="F309" s="27"/>
      <c r="G309" s="27"/>
    </row>
    <row r="310" spans="1:13" x14ac:dyDescent="0.2">
      <c r="A310" s="27"/>
      <c r="B310" s="41"/>
      <c r="C310" s="211"/>
      <c r="D310" s="27"/>
      <c r="E310" s="27"/>
      <c r="F310" s="27"/>
      <c r="G310" s="202"/>
    </row>
    <row r="311" spans="1:13" x14ac:dyDescent="0.2">
      <c r="A311" s="27"/>
      <c r="B311" s="41"/>
      <c r="C311" s="211"/>
      <c r="D311" s="27"/>
      <c r="E311" s="27"/>
      <c r="F311" s="27"/>
      <c r="G311" s="92"/>
    </row>
    <row r="312" spans="1:13" x14ac:dyDescent="0.2">
      <c r="A312" s="27"/>
      <c r="B312" s="41"/>
      <c r="C312" s="211"/>
      <c r="D312" s="27"/>
      <c r="E312" s="27"/>
      <c r="F312" s="27"/>
      <c r="G312" s="19"/>
      <c r="M312" s="947"/>
    </row>
    <row r="313" spans="1:13" s="275" customFormat="1" x14ac:dyDescent="0.2">
      <c r="A313" s="564"/>
      <c r="B313" s="564"/>
      <c r="C313" s="564"/>
      <c r="D313" s="564"/>
      <c r="E313" s="564"/>
      <c r="F313" s="564"/>
      <c r="G313" s="564"/>
    </row>
    <row r="314" spans="1:13" s="275" customFormat="1" x14ac:dyDescent="0.2">
      <c r="A314" s="565"/>
      <c r="B314" s="565"/>
      <c r="C314" s="565"/>
      <c r="D314" s="565"/>
      <c r="E314" s="565"/>
      <c r="F314" s="565"/>
      <c r="G314" s="565"/>
    </row>
    <row r="315" spans="1:13" x14ac:dyDescent="0.2">
      <c r="C315" s="212"/>
      <c r="F315" s="27"/>
      <c r="G315" s="19"/>
    </row>
    <row r="316" spans="1:13" x14ac:dyDescent="0.2">
      <c r="C316" s="212"/>
    </row>
    <row r="317" spans="1:13" x14ac:dyDescent="0.2">
      <c r="C317" s="212"/>
    </row>
    <row r="318" spans="1:13" x14ac:dyDescent="0.2">
      <c r="C318" s="213"/>
    </row>
    <row r="319" spans="1:13" x14ac:dyDescent="0.2">
      <c r="C319" s="211"/>
    </row>
    <row r="320" spans="1:13" x14ac:dyDescent="0.2">
      <c r="C320" s="211"/>
    </row>
    <row r="321" spans="3:3" x14ac:dyDescent="0.2">
      <c r="C321" s="211"/>
    </row>
    <row r="322" spans="3:3" x14ac:dyDescent="0.2">
      <c r="C322" s="211"/>
    </row>
    <row r="323" spans="3:3" x14ac:dyDescent="0.2">
      <c r="C323" s="211"/>
    </row>
    <row r="324" spans="3:3" x14ac:dyDescent="0.2">
      <c r="C324" s="211"/>
    </row>
    <row r="325" spans="3:3" x14ac:dyDescent="0.2">
      <c r="C325" s="211"/>
    </row>
    <row r="326" spans="3:3" x14ac:dyDescent="0.2">
      <c r="C326" s="211"/>
    </row>
    <row r="327" spans="3:3" x14ac:dyDescent="0.2">
      <c r="C327" s="211"/>
    </row>
    <row r="328" spans="3:3" x14ac:dyDescent="0.2">
      <c r="C328" s="211"/>
    </row>
    <row r="329" spans="3:3" x14ac:dyDescent="0.2">
      <c r="C329" s="211"/>
    </row>
    <row r="330" spans="3:3" x14ac:dyDescent="0.2">
      <c r="C330" s="211"/>
    </row>
    <row r="331" spans="3:3" x14ac:dyDescent="0.2">
      <c r="C331" s="211"/>
    </row>
    <row r="332" spans="3:3" x14ac:dyDescent="0.2">
      <c r="C332" s="211"/>
    </row>
    <row r="333" spans="3:3" x14ac:dyDescent="0.2">
      <c r="C333" s="211"/>
    </row>
    <row r="334" spans="3:3" x14ac:dyDescent="0.2">
      <c r="C334" s="211"/>
    </row>
    <row r="335" spans="3:3" x14ac:dyDescent="0.2">
      <c r="C335" s="211"/>
    </row>
    <row r="336" spans="3:3" x14ac:dyDescent="0.2">
      <c r="C336" s="211"/>
    </row>
    <row r="337" spans="3:3" x14ac:dyDescent="0.2">
      <c r="C337" s="211"/>
    </row>
    <row r="338" spans="3:3" x14ac:dyDescent="0.2">
      <c r="C338" s="211"/>
    </row>
    <row r="339" spans="3:3" x14ac:dyDescent="0.2">
      <c r="C339" s="211"/>
    </row>
    <row r="340" spans="3:3" x14ac:dyDescent="0.2">
      <c r="C340" s="211"/>
    </row>
    <row r="341" spans="3:3" x14ac:dyDescent="0.2">
      <c r="C341" s="211"/>
    </row>
    <row r="342" spans="3:3" x14ac:dyDescent="0.2">
      <c r="C342" s="211"/>
    </row>
    <row r="343" spans="3:3" x14ac:dyDescent="0.2">
      <c r="C343" s="211"/>
    </row>
    <row r="344" spans="3:3" x14ac:dyDescent="0.2">
      <c r="C344" s="211"/>
    </row>
    <row r="345" spans="3:3" x14ac:dyDescent="0.2">
      <c r="C345" s="211"/>
    </row>
    <row r="346" spans="3:3" x14ac:dyDescent="0.2">
      <c r="C346" s="211"/>
    </row>
    <row r="347" spans="3:3" x14ac:dyDescent="0.2">
      <c r="C347" s="211"/>
    </row>
    <row r="348" spans="3:3" x14ac:dyDescent="0.2">
      <c r="C348" s="211"/>
    </row>
    <row r="349" spans="3:3" x14ac:dyDescent="0.2">
      <c r="C349" s="211"/>
    </row>
    <row r="350" spans="3:3" x14ac:dyDescent="0.2">
      <c r="C350" s="211"/>
    </row>
    <row r="351" spans="3:3" x14ac:dyDescent="0.2">
      <c r="C351" s="211"/>
    </row>
    <row r="352" spans="3:3" x14ac:dyDescent="0.2">
      <c r="C352" s="211"/>
    </row>
    <row r="353" spans="3:3" x14ac:dyDescent="0.2">
      <c r="C353" s="211"/>
    </row>
    <row r="354" spans="3:3" x14ac:dyDescent="0.2">
      <c r="C354" s="211"/>
    </row>
    <row r="355" spans="3:3" x14ac:dyDescent="0.2">
      <c r="C355" s="211"/>
    </row>
    <row r="356" spans="3:3" x14ac:dyDescent="0.2">
      <c r="C356" s="211"/>
    </row>
    <row r="357" spans="3:3" x14ac:dyDescent="0.2">
      <c r="C357" s="211"/>
    </row>
    <row r="358" spans="3:3" x14ac:dyDescent="0.2">
      <c r="C358" s="211"/>
    </row>
    <row r="359" spans="3:3" x14ac:dyDescent="0.2">
      <c r="C359" s="211"/>
    </row>
    <row r="360" spans="3:3" x14ac:dyDescent="0.2">
      <c r="C360" s="211"/>
    </row>
    <row r="361" spans="3:3" x14ac:dyDescent="0.2">
      <c r="C361" s="211"/>
    </row>
    <row r="362" spans="3:3" x14ac:dyDescent="0.2">
      <c r="C362" s="211"/>
    </row>
    <row r="363" spans="3:3" x14ac:dyDescent="0.2">
      <c r="C363" s="211"/>
    </row>
    <row r="364" spans="3:3" x14ac:dyDescent="0.2">
      <c r="C364" s="211"/>
    </row>
    <row r="365" spans="3:3" x14ac:dyDescent="0.2">
      <c r="C365" s="211"/>
    </row>
    <row r="366" spans="3:3" x14ac:dyDescent="0.2">
      <c r="C366" s="211"/>
    </row>
    <row r="367" spans="3:3" x14ac:dyDescent="0.2">
      <c r="C367" s="211"/>
    </row>
    <row r="368" spans="3:3" x14ac:dyDescent="0.2">
      <c r="C368" s="211"/>
    </row>
    <row r="369" spans="3:3" x14ac:dyDescent="0.2">
      <c r="C369" s="211"/>
    </row>
    <row r="370" spans="3:3" x14ac:dyDescent="0.2">
      <c r="C370" s="211"/>
    </row>
    <row r="371" spans="3:3" x14ac:dyDescent="0.2">
      <c r="C371" s="211"/>
    </row>
    <row r="372" spans="3:3" x14ac:dyDescent="0.2">
      <c r="C372" s="211"/>
    </row>
  </sheetData>
  <sheetProtection password="C7D3" sheet="1" objects="1" scenarios="1"/>
  <mergeCells count="32">
    <mergeCell ref="A314:D314"/>
    <mergeCell ref="E314:G314"/>
    <mergeCell ref="B300:F302"/>
    <mergeCell ref="G300:G302"/>
    <mergeCell ref="A295:G295"/>
    <mergeCell ref="A313:D313"/>
    <mergeCell ref="B37:C37"/>
    <mergeCell ref="B241:G241"/>
    <mergeCell ref="B213:G213"/>
    <mergeCell ref="B219:G219"/>
    <mergeCell ref="B228:G228"/>
    <mergeCell ref="B38:C38"/>
    <mergeCell ref="B88:G88"/>
    <mergeCell ref="B101:G101"/>
    <mergeCell ref="E313:G313"/>
    <mergeCell ref="B4:G4"/>
    <mergeCell ref="B5:G5"/>
    <mergeCell ref="B7:G7"/>
    <mergeCell ref="B51:G51"/>
    <mergeCell ref="B45:G45"/>
    <mergeCell ref="B29:C29"/>
    <mergeCell ref="B30:C30"/>
    <mergeCell ref="B31:C31"/>
    <mergeCell ref="B36:C36"/>
    <mergeCell ref="K247:R256"/>
    <mergeCell ref="K259:R265"/>
    <mergeCell ref="K267:R270"/>
    <mergeCell ref="B134:G134"/>
    <mergeCell ref="B143:G143"/>
    <mergeCell ref="B148:G148"/>
    <mergeCell ref="B153:G153"/>
    <mergeCell ref="B182:G182"/>
  </mergeCells>
  <printOptions horizontalCentered="1"/>
  <pageMargins left="0.98425196850393704" right="0.78740157480314965" top="0.98425196850393704" bottom="0.98425196850393704" header="0.51181102362204722" footer="0.51181102362204722"/>
  <pageSetup paperSize="9" scale="59" orientation="portrait" r:id="rId1"/>
  <headerFooter alignWithMargins="0">
    <oddFooter>&amp;C&amp;10&amp;P</oddFooter>
  </headerFooter>
  <rowBreaks count="3" manualBreakCount="3">
    <brk id="81" max="7" man="1"/>
    <brk id="162" max="7" man="1"/>
    <brk id="247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19"/>
  <sheetViews>
    <sheetView showGridLines="0" view="pageBreakPreview" zoomScale="106" zoomScaleNormal="100" zoomScaleSheetLayoutView="106" workbookViewId="0">
      <selection activeCell="C24" sqref="C24"/>
    </sheetView>
  </sheetViews>
  <sheetFormatPr defaultRowHeight="12.75" x14ac:dyDescent="0.2"/>
  <cols>
    <col min="2" max="2" width="8.5703125" bestFit="1" customWidth="1"/>
    <col min="3" max="3" width="61.85546875" customWidth="1"/>
    <col min="4" max="4" width="13.5703125" bestFit="1" customWidth="1"/>
    <col min="5" max="5" width="12.85546875" bestFit="1" customWidth="1"/>
    <col min="6" max="6" width="12.140625" customWidth="1"/>
    <col min="7" max="7" width="6.42578125" bestFit="1" customWidth="1"/>
  </cols>
  <sheetData>
    <row r="1" spans="1:7" x14ac:dyDescent="0.2">
      <c r="C1" s="313" t="s">
        <v>361</v>
      </c>
      <c r="D1" s="317"/>
      <c r="E1" s="318"/>
      <c r="F1" s="318"/>
      <c r="G1" s="318"/>
    </row>
    <row r="2" spans="1:7" x14ac:dyDescent="0.2">
      <c r="C2" s="279" t="s">
        <v>362</v>
      </c>
      <c r="D2" s="317"/>
      <c r="E2" s="318"/>
      <c r="F2" s="318"/>
      <c r="G2" s="318"/>
    </row>
    <row r="3" spans="1:7" x14ac:dyDescent="0.2">
      <c r="C3" s="319"/>
      <c r="D3" s="319"/>
      <c r="E3" s="318"/>
      <c r="F3" s="318"/>
      <c r="G3" s="318"/>
    </row>
    <row r="4" spans="1:7" x14ac:dyDescent="0.2">
      <c r="C4" s="320"/>
      <c r="D4" s="317"/>
      <c r="E4" s="318"/>
      <c r="F4" s="318"/>
      <c r="G4" s="318"/>
    </row>
    <row r="5" spans="1:7" x14ac:dyDescent="0.2">
      <c r="C5" s="320"/>
      <c r="D5" s="317"/>
      <c r="E5" s="318"/>
      <c r="F5" s="318"/>
      <c r="G5" s="318"/>
    </row>
    <row r="6" spans="1:7" x14ac:dyDescent="0.2">
      <c r="C6" s="318"/>
      <c r="D6" s="317"/>
      <c r="E6" s="318"/>
      <c r="F6" s="318"/>
      <c r="G6" s="318"/>
    </row>
    <row r="7" spans="1:7" ht="16.5" x14ac:dyDescent="0.25">
      <c r="C7" s="321" t="s">
        <v>366</v>
      </c>
      <c r="D7" s="317"/>
      <c r="E7" s="318"/>
      <c r="F7" s="318"/>
      <c r="G7" s="318"/>
    </row>
    <row r="8" spans="1:7" ht="13.5" thickBot="1" x14ac:dyDescent="0.25">
      <c r="C8" s="318"/>
      <c r="D8" s="318"/>
      <c r="E8" s="318"/>
      <c r="F8" s="318"/>
      <c r="G8" s="318"/>
    </row>
    <row r="9" spans="1:7" ht="26.25" thickBot="1" x14ac:dyDescent="0.25">
      <c r="B9" s="382" t="s">
        <v>367</v>
      </c>
      <c r="C9" s="383" t="s">
        <v>368</v>
      </c>
      <c r="D9" s="383" t="s">
        <v>369</v>
      </c>
      <c r="E9" s="384" t="s">
        <v>370</v>
      </c>
      <c r="F9" s="385" t="s">
        <v>376</v>
      </c>
      <c r="G9" s="385" t="s">
        <v>371</v>
      </c>
    </row>
    <row r="10" spans="1:7" ht="38.25" x14ac:dyDescent="0.2">
      <c r="B10" s="378">
        <v>37761</v>
      </c>
      <c r="C10" s="379" t="s">
        <v>372</v>
      </c>
      <c r="D10" s="380">
        <v>201715.19</v>
      </c>
      <c r="E10" s="381" t="s">
        <v>374</v>
      </c>
      <c r="F10" s="325">
        <v>0.3</v>
      </c>
      <c r="G10" s="326">
        <v>5</v>
      </c>
    </row>
    <row r="11" spans="1:7" ht="25.5" x14ac:dyDescent="0.2">
      <c r="B11" s="344">
        <v>37733</v>
      </c>
      <c r="C11" s="335" t="s">
        <v>375</v>
      </c>
      <c r="D11" s="334">
        <v>30559.439999999999</v>
      </c>
      <c r="E11" s="322" t="s">
        <v>374</v>
      </c>
      <c r="F11" s="323" t="s">
        <v>365</v>
      </c>
      <c r="G11" s="324" t="s">
        <v>365</v>
      </c>
    </row>
    <row r="12" spans="1:7" ht="39" thickBot="1" x14ac:dyDescent="0.25">
      <c r="B12" s="345">
        <v>4263</v>
      </c>
      <c r="C12" s="346" t="s">
        <v>373</v>
      </c>
      <c r="D12" s="347">
        <v>499199.97</v>
      </c>
      <c r="E12" s="348" t="s">
        <v>374</v>
      </c>
      <c r="F12" s="349">
        <v>0.3</v>
      </c>
      <c r="G12" s="350">
        <v>5</v>
      </c>
    </row>
    <row r="13" spans="1:7" x14ac:dyDescent="0.2">
      <c r="B13" s="327"/>
      <c r="C13" s="328"/>
      <c r="D13" s="329"/>
      <c r="E13" s="330"/>
      <c r="F13" s="331"/>
      <c r="G13" s="332"/>
    </row>
    <row r="14" spans="1:7" x14ac:dyDescent="0.2">
      <c r="B14" s="327"/>
      <c r="C14" s="328"/>
      <c r="D14" s="329"/>
      <c r="E14" s="330"/>
      <c r="F14" s="331"/>
      <c r="G14" s="332"/>
    </row>
    <row r="15" spans="1:7" x14ac:dyDescent="0.2">
      <c r="B15" s="327"/>
      <c r="C15" s="328"/>
      <c r="D15" s="329"/>
      <c r="E15" s="330"/>
      <c r="F15" s="331"/>
      <c r="G15" s="332"/>
    </row>
    <row r="16" spans="1:7" s="275" customFormat="1" x14ac:dyDescent="0.2">
      <c r="A16" s="564"/>
      <c r="B16" s="564"/>
      <c r="C16" s="564"/>
      <c r="D16" s="564"/>
      <c r="E16" s="564"/>
      <c r="F16" s="564"/>
      <c r="G16" s="564"/>
    </row>
    <row r="17" spans="1:7" s="275" customFormat="1" x14ac:dyDescent="0.2">
      <c r="A17" s="565"/>
      <c r="B17" s="565"/>
      <c r="C17" s="565"/>
      <c r="D17" s="565"/>
      <c r="E17" s="565"/>
      <c r="F17" s="565"/>
      <c r="G17" s="565"/>
    </row>
    <row r="18" spans="1:7" x14ac:dyDescent="0.2">
      <c r="C18" s="768"/>
      <c r="D18" s="768"/>
      <c r="E18" s="768"/>
      <c r="F18" s="333"/>
      <c r="G18" s="333"/>
    </row>
    <row r="19" spans="1:7" x14ac:dyDescent="0.2">
      <c r="C19" s="318"/>
      <c r="D19" s="318"/>
      <c r="E19" s="318"/>
      <c r="F19" s="318"/>
      <c r="G19" s="318"/>
    </row>
  </sheetData>
  <mergeCells count="5">
    <mergeCell ref="D17:G17"/>
    <mergeCell ref="C18:E18"/>
    <mergeCell ref="A16:C16"/>
    <mergeCell ref="A17:C17"/>
    <mergeCell ref="D16:G16"/>
  </mergeCells>
  <pageMargins left="0.511811024" right="0.511811024" top="0.78740157499999996" bottom="0.78740157499999996" header="0.31496062000000002" footer="0.31496062000000002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I58"/>
  <sheetViews>
    <sheetView showGridLines="0" view="pageBreakPreview" zoomScale="93" zoomScaleNormal="100" zoomScaleSheetLayoutView="93" workbookViewId="0">
      <selection activeCell="B54" sqref="B54:I55"/>
    </sheetView>
  </sheetViews>
  <sheetFormatPr defaultRowHeight="12.75" x14ac:dyDescent="0.2"/>
  <cols>
    <col min="9" max="9" width="11.5703125" bestFit="1" customWidth="1"/>
  </cols>
  <sheetData>
    <row r="2" spans="2:9" x14ac:dyDescent="0.2">
      <c r="B2" s="389" t="s">
        <v>403</v>
      </c>
      <c r="C2" s="390"/>
      <c r="D2" s="391"/>
      <c r="E2" s="391"/>
      <c r="F2" s="390"/>
      <c r="G2" s="390"/>
      <c r="H2" s="390"/>
      <c r="I2" s="474"/>
    </row>
    <row r="3" spans="2:9" x14ac:dyDescent="0.2">
      <c r="B3" s="397" t="s">
        <v>362</v>
      </c>
      <c r="C3" s="398"/>
      <c r="D3" s="399"/>
      <c r="E3" s="399"/>
      <c r="F3" s="398"/>
      <c r="G3" s="398"/>
      <c r="H3" s="398"/>
      <c r="I3" s="475"/>
    </row>
    <row r="4" spans="2:9" ht="15.75" x14ac:dyDescent="0.25">
      <c r="B4" s="405"/>
      <c r="C4" s="406"/>
      <c r="D4" s="399"/>
      <c r="E4" s="399"/>
      <c r="F4" s="398"/>
      <c r="G4" s="398"/>
      <c r="H4" s="398"/>
      <c r="I4" s="475"/>
    </row>
    <row r="5" spans="2:9" ht="15" x14ac:dyDescent="0.2">
      <c r="B5" s="407"/>
      <c r="C5" s="408"/>
      <c r="D5" s="409"/>
      <c r="E5" s="409"/>
      <c r="F5" s="410"/>
      <c r="G5" s="410"/>
      <c r="H5" s="410"/>
      <c r="I5" s="476"/>
    </row>
    <row r="6" spans="2:9" ht="15" x14ac:dyDescent="0.25">
      <c r="B6" s="772" t="s">
        <v>467</v>
      </c>
      <c r="C6" s="773"/>
      <c r="D6" s="773"/>
      <c r="E6" s="773"/>
      <c r="F6" s="773"/>
      <c r="G6" s="773"/>
      <c r="H6" s="773"/>
      <c r="I6" s="774"/>
    </row>
    <row r="7" spans="2:9" x14ac:dyDescent="0.2">
      <c r="B7" s="411"/>
      <c r="C7" s="412"/>
      <c r="D7" s="413"/>
      <c r="E7" s="413"/>
      <c r="F7" s="412"/>
      <c r="G7" s="416" t="s">
        <v>405</v>
      </c>
      <c r="H7" s="775">
        <f ca="1">NOW()</f>
        <v>43551.670944791666</v>
      </c>
      <c r="I7" s="776"/>
    </row>
    <row r="8" spans="2:9" x14ac:dyDescent="0.2">
      <c r="B8" s="477"/>
      <c r="C8" s="477"/>
      <c r="D8" s="478"/>
      <c r="E8" s="478"/>
      <c r="F8" s="477"/>
      <c r="G8" s="477"/>
      <c r="H8" s="477"/>
      <c r="I8" s="477"/>
    </row>
    <row r="9" spans="2:9" x14ac:dyDescent="0.2">
      <c r="B9" s="769" t="s">
        <v>50</v>
      </c>
      <c r="C9" s="770"/>
      <c r="D9" s="770"/>
      <c r="E9" s="770"/>
      <c r="F9" s="770"/>
      <c r="G9" s="770"/>
      <c r="H9" s="770"/>
      <c r="I9" s="771"/>
    </row>
    <row r="10" spans="2:9" x14ac:dyDescent="0.2">
      <c r="B10" s="479" t="s">
        <v>51</v>
      </c>
      <c r="C10" s="480"/>
      <c r="D10" s="480"/>
      <c r="E10" s="480"/>
      <c r="F10" s="480"/>
      <c r="G10" s="480"/>
      <c r="H10" s="481" t="s">
        <v>52</v>
      </c>
      <c r="I10" s="482"/>
    </row>
    <row r="11" spans="2:9" x14ac:dyDescent="0.2">
      <c r="B11" s="769" t="s">
        <v>468</v>
      </c>
      <c r="C11" s="770"/>
      <c r="D11" s="770"/>
      <c r="E11" s="770"/>
      <c r="F11" s="770"/>
      <c r="G11" s="771"/>
      <c r="H11" s="483"/>
      <c r="I11" s="484"/>
    </row>
    <row r="12" spans="2:9" x14ac:dyDescent="0.2">
      <c r="B12" s="485" t="s">
        <v>53</v>
      </c>
      <c r="C12" s="486" t="s">
        <v>54</v>
      </c>
      <c r="D12" s="486"/>
      <c r="E12" s="486"/>
      <c r="F12" s="486"/>
      <c r="G12" s="486"/>
      <c r="H12" s="487"/>
      <c r="I12" s="488">
        <v>0.2</v>
      </c>
    </row>
    <row r="13" spans="2:9" x14ac:dyDescent="0.2">
      <c r="B13" s="485" t="s">
        <v>55</v>
      </c>
      <c r="C13" s="486" t="s">
        <v>56</v>
      </c>
      <c r="D13" s="486"/>
      <c r="E13" s="486"/>
      <c r="F13" s="486"/>
      <c r="G13" s="486"/>
      <c r="H13" s="487"/>
      <c r="I13" s="488">
        <v>0.08</v>
      </c>
    </row>
    <row r="14" spans="2:9" x14ac:dyDescent="0.2">
      <c r="B14" s="485" t="s">
        <v>57</v>
      </c>
      <c r="C14" s="486" t="s">
        <v>58</v>
      </c>
      <c r="D14" s="486"/>
      <c r="E14" s="486"/>
      <c r="F14" s="486"/>
      <c r="G14" s="486"/>
      <c r="H14" s="487"/>
      <c r="I14" s="488">
        <v>1.4999999999999999E-2</v>
      </c>
    </row>
    <row r="15" spans="2:9" x14ac:dyDescent="0.2">
      <c r="B15" s="485" t="s">
        <v>59</v>
      </c>
      <c r="C15" s="486" t="s">
        <v>60</v>
      </c>
      <c r="D15" s="486"/>
      <c r="E15" s="489"/>
      <c r="F15" s="486"/>
      <c r="G15" s="486"/>
      <c r="H15" s="490"/>
      <c r="I15" s="488">
        <v>0.01</v>
      </c>
    </row>
    <row r="16" spans="2:9" x14ac:dyDescent="0.2">
      <c r="B16" s="485" t="s">
        <v>61</v>
      </c>
      <c r="C16" s="486" t="s">
        <v>62</v>
      </c>
      <c r="D16" s="486"/>
      <c r="E16" s="486"/>
      <c r="F16" s="486"/>
      <c r="G16" s="486"/>
      <c r="H16" s="487"/>
      <c r="I16" s="488">
        <v>0.03</v>
      </c>
    </row>
    <row r="17" spans="2:9" x14ac:dyDescent="0.2">
      <c r="B17" s="485" t="s">
        <v>63</v>
      </c>
      <c r="C17" s="486" t="s">
        <v>64</v>
      </c>
      <c r="D17" s="486"/>
      <c r="E17" s="486"/>
      <c r="F17" s="486"/>
      <c r="G17" s="486"/>
      <c r="H17" s="487"/>
      <c r="I17" s="488">
        <v>2.5000000000000001E-2</v>
      </c>
    </row>
    <row r="18" spans="2:9" x14ac:dyDescent="0.2">
      <c r="B18" s="485" t="s">
        <v>65</v>
      </c>
      <c r="C18" s="486" t="s">
        <v>66</v>
      </c>
      <c r="D18" s="486"/>
      <c r="E18" s="486"/>
      <c r="F18" s="486"/>
      <c r="G18" s="486"/>
      <c r="H18" s="487"/>
      <c r="I18" s="488">
        <v>2E-3</v>
      </c>
    </row>
    <row r="19" spans="2:9" x14ac:dyDescent="0.2">
      <c r="B19" s="485" t="s">
        <v>67</v>
      </c>
      <c r="C19" s="486" t="s">
        <v>68</v>
      </c>
      <c r="D19" s="486"/>
      <c r="E19" s="486"/>
      <c r="F19" s="486"/>
      <c r="G19" s="486"/>
      <c r="H19" s="487"/>
      <c r="I19" s="488">
        <v>6.0000000000000001E-3</v>
      </c>
    </row>
    <row r="20" spans="2:9" x14ac:dyDescent="0.2">
      <c r="B20" s="481" t="s">
        <v>69</v>
      </c>
      <c r="C20" s="491"/>
      <c r="D20" s="491"/>
      <c r="E20" s="491"/>
      <c r="F20" s="491"/>
      <c r="G20" s="491"/>
      <c r="H20" s="483"/>
      <c r="I20" s="484">
        <f>SUM(I12:I19)</f>
        <v>0.3680000000000001</v>
      </c>
    </row>
    <row r="21" spans="2:9" x14ac:dyDescent="0.2">
      <c r="B21" s="769" t="s">
        <v>469</v>
      </c>
      <c r="C21" s="770"/>
      <c r="D21" s="770"/>
      <c r="E21" s="770"/>
      <c r="F21" s="770"/>
      <c r="G21" s="771"/>
      <c r="H21" s="483"/>
      <c r="I21" s="484"/>
    </row>
    <row r="22" spans="2:9" x14ac:dyDescent="0.2">
      <c r="B22" s="485" t="s">
        <v>70</v>
      </c>
      <c r="C22" s="486" t="s">
        <v>73</v>
      </c>
      <c r="D22" s="486"/>
      <c r="E22" s="486"/>
      <c r="F22" s="486"/>
      <c r="G22" s="486"/>
      <c r="H22" s="487"/>
      <c r="I22" s="488">
        <v>8.3299999999999999E-2</v>
      </c>
    </row>
    <row r="23" spans="2:9" x14ac:dyDescent="0.2">
      <c r="B23" s="485" t="s">
        <v>71</v>
      </c>
      <c r="C23" s="486" t="s">
        <v>470</v>
      </c>
      <c r="D23" s="486"/>
      <c r="E23" s="486"/>
      <c r="F23" s="486"/>
      <c r="G23" s="486"/>
      <c r="H23" s="487"/>
      <c r="I23" s="488">
        <v>2.7799999999999998E-2</v>
      </c>
    </row>
    <row r="24" spans="2:9" x14ac:dyDescent="0.2">
      <c r="B24" s="485" t="s">
        <v>72</v>
      </c>
      <c r="C24" s="486" t="s">
        <v>471</v>
      </c>
      <c r="D24" s="486"/>
      <c r="E24" s="486"/>
      <c r="F24" s="486"/>
      <c r="G24" s="486"/>
      <c r="H24" s="487"/>
      <c r="I24" s="488">
        <f>I20*(I22+I23)</f>
        <v>4.0884800000000013E-2</v>
      </c>
    </row>
    <row r="25" spans="2:9" x14ac:dyDescent="0.2">
      <c r="B25" s="481" t="s">
        <v>74</v>
      </c>
      <c r="C25" s="491"/>
      <c r="D25" s="491"/>
      <c r="E25" s="491"/>
      <c r="F25" s="491"/>
      <c r="G25" s="491"/>
      <c r="H25" s="483"/>
      <c r="I25" s="484">
        <f>SUM(I22:I24)</f>
        <v>0.15198480000000003</v>
      </c>
    </row>
    <row r="26" spans="2:9" x14ac:dyDescent="0.2">
      <c r="B26" s="769" t="s">
        <v>472</v>
      </c>
      <c r="C26" s="770"/>
      <c r="D26" s="770"/>
      <c r="E26" s="770"/>
      <c r="F26" s="770"/>
      <c r="G26" s="771"/>
      <c r="H26" s="483"/>
      <c r="I26" s="484"/>
    </row>
    <row r="27" spans="2:9" x14ac:dyDescent="0.2">
      <c r="B27" s="485" t="s">
        <v>75</v>
      </c>
      <c r="C27" s="777" t="s">
        <v>429</v>
      </c>
      <c r="D27" s="777"/>
      <c r="E27" s="777"/>
      <c r="F27" s="777"/>
      <c r="G27" s="778"/>
      <c r="H27" s="487"/>
      <c r="I27" s="488">
        <v>7.000000000000001E-4</v>
      </c>
    </row>
    <row r="28" spans="2:9" x14ac:dyDescent="0.2">
      <c r="B28" s="485" t="s">
        <v>76</v>
      </c>
      <c r="C28" s="492" t="s">
        <v>473</v>
      </c>
      <c r="D28" s="493"/>
      <c r="E28" s="493"/>
      <c r="F28" s="493"/>
      <c r="G28" s="493"/>
      <c r="H28" s="487"/>
      <c r="I28" s="488">
        <v>2.9999999999999997E-4</v>
      </c>
    </row>
    <row r="29" spans="2:9" x14ac:dyDescent="0.2">
      <c r="B29" s="485" t="s">
        <v>78</v>
      </c>
      <c r="C29" s="486" t="s">
        <v>474</v>
      </c>
      <c r="D29" s="486"/>
      <c r="E29" s="486"/>
      <c r="F29" s="486"/>
      <c r="G29" s="486"/>
      <c r="H29" s="487"/>
      <c r="I29" s="488">
        <v>2.5000000000000001E-3</v>
      </c>
    </row>
    <row r="30" spans="2:9" x14ac:dyDescent="0.2">
      <c r="B30" s="481" t="s">
        <v>79</v>
      </c>
      <c r="C30" s="491"/>
      <c r="D30" s="491"/>
      <c r="E30" s="491"/>
      <c r="F30" s="491"/>
      <c r="G30" s="491"/>
      <c r="H30" s="483"/>
      <c r="I30" s="484">
        <f>SUM(I27:I29)</f>
        <v>3.5000000000000001E-3</v>
      </c>
    </row>
    <row r="31" spans="2:9" x14ac:dyDescent="0.2">
      <c r="B31" s="769" t="s">
        <v>475</v>
      </c>
      <c r="C31" s="770"/>
      <c r="D31" s="770"/>
      <c r="E31" s="770"/>
      <c r="F31" s="770"/>
      <c r="G31" s="771"/>
      <c r="H31" s="483"/>
      <c r="I31" s="484"/>
    </row>
    <row r="32" spans="2:9" x14ac:dyDescent="0.2">
      <c r="B32" s="485" t="s">
        <v>80</v>
      </c>
      <c r="C32" s="486" t="s">
        <v>77</v>
      </c>
      <c r="D32" s="486"/>
      <c r="E32" s="486"/>
      <c r="F32" s="486"/>
      <c r="G32" s="486"/>
      <c r="H32" s="487"/>
      <c r="I32" s="488">
        <v>2.8999999999999998E-3</v>
      </c>
    </row>
    <row r="33" spans="2:9" x14ac:dyDescent="0.2">
      <c r="B33" s="485" t="s">
        <v>476</v>
      </c>
      <c r="C33" s="486" t="s">
        <v>477</v>
      </c>
      <c r="D33" s="486"/>
      <c r="E33" s="486"/>
      <c r="F33" s="486"/>
      <c r="G33" s="486"/>
      <c r="H33" s="487"/>
      <c r="I33" s="488">
        <v>5.9999999999999995E-4</v>
      </c>
    </row>
    <row r="34" spans="2:9" x14ac:dyDescent="0.2">
      <c r="B34" s="485" t="s">
        <v>478</v>
      </c>
      <c r="C34" s="779" t="s">
        <v>479</v>
      </c>
      <c r="D34" s="779"/>
      <c r="E34" s="779"/>
      <c r="F34" s="779"/>
      <c r="G34" s="780"/>
      <c r="H34" s="487"/>
      <c r="I34" s="494">
        <f>+I20*I22*I32</f>
        <v>8.8897760000000026E-5</v>
      </c>
    </row>
    <row r="35" spans="2:9" x14ac:dyDescent="0.2">
      <c r="B35" s="485" t="s">
        <v>480</v>
      </c>
      <c r="C35" s="495" t="s">
        <v>441</v>
      </c>
      <c r="D35" s="493"/>
      <c r="E35" s="493"/>
      <c r="F35" s="493"/>
      <c r="G35" s="493"/>
      <c r="H35" s="487"/>
      <c r="I35" s="494">
        <f>+I13*50%*0.35%</f>
        <v>1.3999999999999999E-4</v>
      </c>
    </row>
    <row r="36" spans="2:9" x14ac:dyDescent="0.2">
      <c r="B36" s="485" t="s">
        <v>481</v>
      </c>
      <c r="C36" s="486" t="s">
        <v>442</v>
      </c>
      <c r="D36" s="486"/>
      <c r="E36" s="486"/>
      <c r="F36" s="486"/>
      <c r="G36" s="486"/>
      <c r="H36" s="487"/>
      <c r="I36" s="488">
        <v>0.04</v>
      </c>
    </row>
    <row r="37" spans="2:9" x14ac:dyDescent="0.2">
      <c r="B37" s="485" t="s">
        <v>482</v>
      </c>
      <c r="C37" s="486" t="s">
        <v>483</v>
      </c>
      <c r="D37" s="486"/>
      <c r="E37" s="486"/>
      <c r="F37" s="486"/>
      <c r="G37" s="486"/>
      <c r="H37" s="487"/>
      <c r="I37" s="488">
        <v>8.0000000000000004E-4</v>
      </c>
    </row>
    <row r="38" spans="2:9" x14ac:dyDescent="0.2">
      <c r="B38" s="481" t="s">
        <v>81</v>
      </c>
      <c r="C38" s="491"/>
      <c r="D38" s="491"/>
      <c r="E38" s="491"/>
      <c r="F38" s="491"/>
      <c r="G38" s="491"/>
      <c r="H38" s="483"/>
      <c r="I38" s="484">
        <f>SUM(I32:I37)</f>
        <v>4.4528897760000005E-2</v>
      </c>
    </row>
    <row r="39" spans="2:9" x14ac:dyDescent="0.2">
      <c r="B39" s="769" t="s">
        <v>484</v>
      </c>
      <c r="C39" s="770"/>
      <c r="D39" s="770"/>
      <c r="E39" s="770"/>
      <c r="F39" s="770"/>
      <c r="G39" s="771"/>
      <c r="H39" s="483"/>
      <c r="I39" s="484"/>
    </row>
    <row r="40" spans="2:9" x14ac:dyDescent="0.2">
      <c r="B40" s="485" t="s">
        <v>485</v>
      </c>
      <c r="C40" s="486" t="s">
        <v>448</v>
      </c>
      <c r="D40" s="486"/>
      <c r="E40" s="486"/>
      <c r="F40" s="486"/>
      <c r="G40" s="486"/>
      <c r="H40" s="487"/>
      <c r="I40" s="488">
        <v>8.3299999999999999E-2</v>
      </c>
    </row>
    <row r="41" spans="2:9" x14ac:dyDescent="0.2">
      <c r="B41" s="485" t="s">
        <v>486</v>
      </c>
      <c r="C41" s="486" t="s">
        <v>450</v>
      </c>
      <c r="D41" s="486"/>
      <c r="E41" s="486"/>
      <c r="F41" s="486"/>
      <c r="G41" s="486"/>
      <c r="H41" s="487"/>
      <c r="I41" s="488">
        <v>1.15E-2</v>
      </c>
    </row>
    <row r="42" spans="2:9" x14ac:dyDescent="0.2">
      <c r="B42" s="485" t="s">
        <v>487</v>
      </c>
      <c r="C42" s="486" t="s">
        <v>452</v>
      </c>
      <c r="D42" s="486"/>
      <c r="E42" s="486"/>
      <c r="F42" s="486"/>
      <c r="G42" s="486"/>
      <c r="H42" s="487"/>
      <c r="I42" s="488">
        <v>2.0000000000000001E-4</v>
      </c>
    </row>
    <row r="43" spans="2:9" x14ac:dyDescent="0.2">
      <c r="B43" s="485" t="s">
        <v>488</v>
      </c>
      <c r="C43" s="486" t="s">
        <v>489</v>
      </c>
      <c r="D43" s="486"/>
      <c r="E43" s="486"/>
      <c r="F43" s="486"/>
      <c r="G43" s="486"/>
      <c r="H43" s="487"/>
      <c r="I43" s="488">
        <v>2.8000000000000004E-3</v>
      </c>
    </row>
    <row r="44" spans="2:9" x14ac:dyDescent="0.2">
      <c r="B44" s="485" t="s">
        <v>490</v>
      </c>
      <c r="C44" s="486" t="s">
        <v>491</v>
      </c>
      <c r="D44" s="486"/>
      <c r="E44" s="486"/>
      <c r="F44" s="486"/>
      <c r="G44" s="486"/>
      <c r="H44" s="487"/>
      <c r="I44" s="488">
        <v>3.3E-3</v>
      </c>
    </row>
    <row r="45" spans="2:9" x14ac:dyDescent="0.2">
      <c r="B45" s="485" t="s">
        <v>492</v>
      </c>
      <c r="C45" s="486" t="s">
        <v>493</v>
      </c>
      <c r="D45" s="486"/>
      <c r="E45" s="486"/>
      <c r="F45" s="486"/>
      <c r="G45" s="486"/>
      <c r="H45" s="487"/>
      <c r="I45" s="488">
        <v>1E-3</v>
      </c>
    </row>
    <row r="46" spans="2:9" x14ac:dyDescent="0.2">
      <c r="B46" s="485" t="s">
        <v>494</v>
      </c>
      <c r="C46" s="486" t="s">
        <v>495</v>
      </c>
      <c r="D46" s="486"/>
      <c r="E46" s="486"/>
      <c r="F46" s="486"/>
      <c r="G46" s="486"/>
      <c r="H46" s="487"/>
      <c r="I46" s="488">
        <v>3.7600000000000001E-2</v>
      </c>
    </row>
    <row r="47" spans="2:9" x14ac:dyDescent="0.2">
      <c r="B47" s="485" t="s">
        <v>496</v>
      </c>
      <c r="C47" s="486" t="s">
        <v>497</v>
      </c>
      <c r="D47" s="486"/>
      <c r="E47" s="486"/>
      <c r="F47" s="486"/>
      <c r="G47" s="486"/>
      <c r="H47" s="487"/>
      <c r="I47" s="488">
        <v>2.0400000000000001E-2</v>
      </c>
    </row>
    <row r="48" spans="2:9" x14ac:dyDescent="0.2">
      <c r="B48" s="481" t="s">
        <v>82</v>
      </c>
      <c r="C48" s="491"/>
      <c r="D48" s="491"/>
      <c r="E48" s="491"/>
      <c r="F48" s="491"/>
      <c r="G48" s="491"/>
      <c r="H48" s="483"/>
      <c r="I48" s="484">
        <f>SUM(I40:I47)</f>
        <v>0.16009999999999999</v>
      </c>
    </row>
    <row r="49" spans="2:9" x14ac:dyDescent="0.2">
      <c r="B49" s="485"/>
      <c r="C49" s="486"/>
      <c r="D49" s="486"/>
      <c r="E49" s="486"/>
      <c r="F49" s="486"/>
      <c r="G49" s="486"/>
      <c r="H49" s="487"/>
      <c r="I49" s="496"/>
    </row>
    <row r="50" spans="2:9" ht="15.75" x14ac:dyDescent="0.2">
      <c r="B50" s="497" t="s">
        <v>83</v>
      </c>
      <c r="C50" s="498"/>
      <c r="D50" s="498"/>
      <c r="E50" s="498"/>
      <c r="F50" s="498"/>
      <c r="G50" s="498"/>
      <c r="H50" s="499"/>
      <c r="I50" s="500">
        <f>+I25+I20+I30+I38+I48</f>
        <v>0.72811369776000012</v>
      </c>
    </row>
    <row r="51" spans="2:9" x14ac:dyDescent="0.2">
      <c r="B51" s="501" t="s">
        <v>84</v>
      </c>
      <c r="C51" s="501"/>
      <c r="D51" s="501"/>
      <c r="E51" s="502"/>
      <c r="F51" s="502"/>
      <c r="G51" s="502"/>
      <c r="H51" s="502"/>
      <c r="I51" s="502"/>
    </row>
    <row r="52" spans="2:9" x14ac:dyDescent="0.2">
      <c r="B52" s="501"/>
      <c r="C52" s="501"/>
      <c r="D52" s="501"/>
      <c r="E52" s="502"/>
      <c r="F52" s="502"/>
      <c r="G52" s="502"/>
      <c r="H52" s="502"/>
      <c r="I52" s="502"/>
    </row>
    <row r="53" spans="2:9" x14ac:dyDescent="0.2">
      <c r="B53" s="503"/>
      <c r="C53" s="503"/>
      <c r="D53" s="504"/>
      <c r="E53" s="503"/>
      <c r="F53" s="505"/>
      <c r="G53" s="506"/>
      <c r="H53" s="410"/>
      <c r="I53" s="410"/>
    </row>
    <row r="54" spans="2:9" s="275" customFormat="1" x14ac:dyDescent="0.2">
      <c r="B54" s="564"/>
      <c r="C54" s="564"/>
      <c r="D54" s="564"/>
      <c r="E54" s="564"/>
      <c r="F54" s="528"/>
      <c r="G54" s="564"/>
      <c r="H54" s="564"/>
      <c r="I54" s="564"/>
    </row>
    <row r="55" spans="2:9" s="275" customFormat="1" x14ac:dyDescent="0.2">
      <c r="B55" s="565"/>
      <c r="C55" s="565"/>
      <c r="D55" s="565"/>
      <c r="E55" s="565"/>
      <c r="F55" s="529"/>
      <c r="G55" s="565"/>
      <c r="H55" s="565"/>
      <c r="I55" s="565"/>
    </row>
    <row r="56" spans="2:9" x14ac:dyDescent="0.2">
      <c r="B56" s="768"/>
      <c r="C56" s="768"/>
      <c r="D56" s="768"/>
      <c r="E56" s="768"/>
      <c r="F56" s="768"/>
      <c r="G56" s="768"/>
      <c r="H56" s="768"/>
      <c r="I56" s="768"/>
    </row>
    <row r="57" spans="2:9" x14ac:dyDescent="0.2">
      <c r="B57" s="477"/>
      <c r="C57" s="477"/>
      <c r="D57" s="477"/>
      <c r="E57" s="477"/>
      <c r="F57" s="477"/>
      <c r="G57" s="477"/>
      <c r="H57" s="477"/>
      <c r="I57" s="477"/>
    </row>
    <row r="58" spans="2:9" x14ac:dyDescent="0.2">
      <c r="B58" s="477"/>
      <c r="C58" s="477"/>
      <c r="D58" s="477"/>
      <c r="E58" s="477"/>
      <c r="F58" s="477"/>
      <c r="G58" s="477"/>
      <c r="H58" s="477"/>
      <c r="I58" s="477"/>
    </row>
  </sheetData>
  <sheetProtection password="C7D3" sheet="1" objects="1" scenarios="1"/>
  <mergeCells count="15">
    <mergeCell ref="B56:I56"/>
    <mergeCell ref="C27:G27"/>
    <mergeCell ref="B31:G31"/>
    <mergeCell ref="C34:G34"/>
    <mergeCell ref="B39:G39"/>
    <mergeCell ref="G54:I54"/>
    <mergeCell ref="G55:I55"/>
    <mergeCell ref="B54:E54"/>
    <mergeCell ref="B55:E55"/>
    <mergeCell ref="B26:G26"/>
    <mergeCell ref="B6:I6"/>
    <mergeCell ref="H7:I7"/>
    <mergeCell ref="B9:I9"/>
    <mergeCell ref="B11:G11"/>
    <mergeCell ref="B21:G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13"/>
  <sheetViews>
    <sheetView showGridLines="0" view="pageBreakPreview" zoomScale="93" zoomScaleNormal="100" zoomScaleSheetLayoutView="93" workbookViewId="0">
      <selection activeCell="B111" sqref="B111:V112"/>
    </sheetView>
  </sheetViews>
  <sheetFormatPr defaultRowHeight="12.75" x14ac:dyDescent="0.2"/>
  <cols>
    <col min="14" max="18" width="9.140625" customWidth="1"/>
    <col min="19" max="19" width="7.42578125" customWidth="1"/>
  </cols>
  <sheetData>
    <row r="1" spans="1:22" ht="15.75" x14ac:dyDescent="0.2">
      <c r="A1" s="389" t="s">
        <v>403</v>
      </c>
      <c r="B1" s="390"/>
      <c r="C1" s="391"/>
      <c r="D1" s="391"/>
      <c r="E1" s="390"/>
      <c r="F1" s="390"/>
      <c r="G1" s="390"/>
      <c r="H1" s="390"/>
      <c r="I1" s="390"/>
      <c r="J1" s="390"/>
      <c r="K1" s="390"/>
      <c r="L1" s="392"/>
      <c r="M1" s="392"/>
      <c r="N1" s="392"/>
      <c r="O1" s="392"/>
      <c r="P1" s="392"/>
      <c r="Q1" s="392"/>
      <c r="R1" s="393"/>
      <c r="S1" s="393"/>
      <c r="T1" s="394"/>
      <c r="U1" s="395"/>
      <c r="V1" s="396"/>
    </row>
    <row r="2" spans="1:22" ht="15.75" x14ac:dyDescent="0.2">
      <c r="A2" s="397" t="s">
        <v>362</v>
      </c>
      <c r="B2" s="398"/>
      <c r="C2" s="399"/>
      <c r="D2" s="399"/>
      <c r="E2" s="398"/>
      <c r="F2" s="398"/>
      <c r="G2" s="398"/>
      <c r="H2" s="398"/>
      <c r="I2" s="400"/>
      <c r="J2" s="400"/>
      <c r="K2" s="400"/>
      <c r="L2" s="400"/>
      <c r="M2" s="400"/>
      <c r="N2" s="400"/>
      <c r="O2" s="400"/>
      <c r="P2" s="400"/>
      <c r="Q2" s="400"/>
      <c r="R2" s="401"/>
      <c r="S2" s="401"/>
      <c r="T2" s="402"/>
      <c r="U2" s="403"/>
      <c r="V2" s="404"/>
    </row>
    <row r="3" spans="1:22" ht="15.75" x14ac:dyDescent="0.25">
      <c r="A3" s="405"/>
      <c r="B3" s="406"/>
      <c r="C3" s="399"/>
      <c r="D3" s="399"/>
      <c r="E3" s="398"/>
      <c r="F3" s="398"/>
      <c r="G3" s="398"/>
      <c r="H3" s="398"/>
      <c r="I3" s="398"/>
      <c r="J3" s="398"/>
      <c r="K3" s="398"/>
      <c r="L3" s="400"/>
      <c r="M3" s="400"/>
      <c r="N3" s="400"/>
      <c r="O3" s="400"/>
      <c r="P3" s="400"/>
      <c r="Q3" s="400"/>
      <c r="R3" s="401"/>
      <c r="S3" s="401"/>
      <c r="T3" s="402"/>
      <c r="U3" s="403"/>
      <c r="V3" s="404"/>
    </row>
    <row r="4" spans="1:22" ht="15.75" x14ac:dyDescent="0.2">
      <c r="A4" s="407"/>
      <c r="B4" s="408"/>
      <c r="C4" s="409"/>
      <c r="D4" s="409"/>
      <c r="E4" s="410"/>
      <c r="F4" s="410"/>
      <c r="G4" s="410"/>
      <c r="H4" s="410"/>
      <c r="I4" s="410"/>
      <c r="J4" s="410"/>
      <c r="K4" s="410"/>
      <c r="L4" s="400"/>
      <c r="M4" s="400"/>
      <c r="N4" s="400"/>
      <c r="O4" s="400"/>
      <c r="P4" s="400"/>
      <c r="Q4" s="400"/>
      <c r="R4" s="401"/>
      <c r="S4" s="401"/>
      <c r="T4" s="402"/>
      <c r="U4" s="403"/>
      <c r="V4" s="404"/>
    </row>
    <row r="5" spans="1:22" ht="15" x14ac:dyDescent="0.25">
      <c r="A5" s="772" t="s">
        <v>404</v>
      </c>
      <c r="B5" s="773"/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773"/>
      <c r="O5" s="773"/>
      <c r="P5" s="773"/>
      <c r="Q5" s="773"/>
      <c r="R5" s="773"/>
      <c r="S5" s="773"/>
      <c r="T5" s="773"/>
      <c r="U5" s="773"/>
      <c r="V5" s="774"/>
    </row>
    <row r="6" spans="1:22" ht="15.75" x14ac:dyDescent="0.2">
      <c r="A6" s="411"/>
      <c r="B6" s="412"/>
      <c r="C6" s="413"/>
      <c r="D6" s="413"/>
      <c r="E6" s="412"/>
      <c r="F6" s="414"/>
      <c r="G6" s="414"/>
      <c r="H6" s="414"/>
      <c r="I6" s="415"/>
      <c r="J6" s="415"/>
      <c r="K6" s="415"/>
      <c r="L6" s="415"/>
      <c r="M6" s="415"/>
      <c r="N6" s="415"/>
      <c r="O6" s="415"/>
      <c r="P6" s="415"/>
      <c r="Q6" s="414"/>
      <c r="R6" s="414"/>
      <c r="S6" s="416" t="s">
        <v>405</v>
      </c>
      <c r="T6" s="775">
        <f ca="1">NOW()</f>
        <v>43551.670944791666</v>
      </c>
      <c r="U6" s="775"/>
      <c r="V6" s="776"/>
    </row>
    <row r="7" spans="1:22" ht="15.75" x14ac:dyDescent="0.2">
      <c r="A7" s="785" t="s">
        <v>406</v>
      </c>
      <c r="B7" s="786"/>
      <c r="C7" s="786"/>
      <c r="D7" s="786"/>
      <c r="E7" s="786"/>
      <c r="F7" s="787"/>
      <c r="G7" s="787"/>
      <c r="H7" s="787"/>
      <c r="I7" s="787"/>
      <c r="J7" s="787"/>
      <c r="K7" s="787"/>
      <c r="L7" s="787"/>
      <c r="M7" s="787"/>
      <c r="N7" s="787"/>
      <c r="O7" s="787"/>
      <c r="P7" s="787"/>
      <c r="Q7" s="787"/>
      <c r="R7" s="787"/>
      <c r="S7" s="787"/>
      <c r="T7" s="787"/>
      <c r="U7" s="787"/>
      <c r="V7" s="788"/>
    </row>
    <row r="8" spans="1:22" ht="15.75" x14ac:dyDescent="0.2">
      <c r="A8" s="789" t="s">
        <v>407</v>
      </c>
      <c r="B8" s="789"/>
      <c r="C8" s="789"/>
      <c r="D8" s="790"/>
      <c r="E8" s="790"/>
      <c r="F8" s="790"/>
      <c r="G8" s="790"/>
      <c r="H8" s="790"/>
      <c r="I8" s="790"/>
      <c r="J8" s="790"/>
      <c r="K8" s="790"/>
      <c r="L8" s="790"/>
      <c r="M8" s="790"/>
      <c r="N8" s="790"/>
      <c r="O8" s="790"/>
      <c r="P8" s="790"/>
      <c r="Q8" s="790"/>
      <c r="R8" s="790"/>
      <c r="S8" s="790"/>
      <c r="T8" s="791" t="s">
        <v>153</v>
      </c>
      <c r="U8" s="792"/>
      <c r="V8" s="792"/>
    </row>
    <row r="9" spans="1:22" ht="15.75" x14ac:dyDescent="0.2">
      <c r="A9" s="781" t="s">
        <v>408</v>
      </c>
      <c r="B9" s="781"/>
      <c r="C9" s="781"/>
      <c r="D9" s="782"/>
      <c r="E9" s="782"/>
      <c r="F9" s="782"/>
      <c r="G9" s="782"/>
      <c r="H9" s="782"/>
      <c r="I9" s="782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3">
        <v>0.2</v>
      </c>
      <c r="U9" s="784"/>
      <c r="V9" s="784"/>
    </row>
    <row r="10" spans="1:22" ht="15.75" x14ac:dyDescent="0.2">
      <c r="A10" s="781" t="s">
        <v>409</v>
      </c>
      <c r="B10" s="781"/>
      <c r="C10" s="781"/>
      <c r="D10" s="782"/>
      <c r="E10" s="782"/>
      <c r="F10" s="782"/>
      <c r="G10" s="782"/>
      <c r="H10" s="782"/>
      <c r="I10" s="782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3">
        <v>1.4999999999999999E-2</v>
      </c>
      <c r="U10" s="784"/>
      <c r="V10" s="784"/>
    </row>
    <row r="11" spans="1:22" ht="15.75" x14ac:dyDescent="0.2">
      <c r="A11" s="781" t="s">
        <v>410</v>
      </c>
      <c r="B11" s="781"/>
      <c r="C11" s="781"/>
      <c r="D11" s="782"/>
      <c r="E11" s="782"/>
      <c r="F11" s="782"/>
      <c r="G11" s="782"/>
      <c r="H11" s="782"/>
      <c r="I11" s="782"/>
      <c r="J11" s="782"/>
      <c r="K11" s="782"/>
      <c r="L11" s="782"/>
      <c r="M11" s="782"/>
      <c r="N11" s="782"/>
      <c r="O11" s="782"/>
      <c r="P11" s="782"/>
      <c r="Q11" s="782"/>
      <c r="R11" s="782"/>
      <c r="S11" s="782"/>
      <c r="T11" s="783">
        <v>0.01</v>
      </c>
      <c r="U11" s="784"/>
      <c r="V11" s="784"/>
    </row>
    <row r="12" spans="1:22" ht="15.75" x14ac:dyDescent="0.2">
      <c r="A12" s="781" t="s">
        <v>411</v>
      </c>
      <c r="B12" s="781"/>
      <c r="C12" s="781"/>
      <c r="D12" s="782"/>
      <c r="E12" s="782"/>
      <c r="F12" s="782"/>
      <c r="G12" s="782"/>
      <c r="H12" s="782"/>
      <c r="I12" s="782"/>
      <c r="J12" s="782"/>
      <c r="K12" s="782"/>
      <c r="L12" s="782"/>
      <c r="M12" s="782"/>
      <c r="N12" s="782"/>
      <c r="O12" s="782"/>
      <c r="P12" s="782"/>
      <c r="Q12" s="782"/>
      <c r="R12" s="782"/>
      <c r="S12" s="782"/>
      <c r="T12" s="783">
        <v>2E-3</v>
      </c>
      <c r="U12" s="784"/>
      <c r="V12" s="784"/>
    </row>
    <row r="13" spans="1:22" ht="15.75" x14ac:dyDescent="0.2">
      <c r="A13" s="781" t="s">
        <v>412</v>
      </c>
      <c r="B13" s="781"/>
      <c r="C13" s="781"/>
      <c r="D13" s="782"/>
      <c r="E13" s="782"/>
      <c r="F13" s="782"/>
      <c r="G13" s="782"/>
      <c r="H13" s="782"/>
      <c r="I13" s="782"/>
      <c r="J13" s="782"/>
      <c r="K13" s="782"/>
      <c r="L13" s="782"/>
      <c r="M13" s="782"/>
      <c r="N13" s="782"/>
      <c r="O13" s="782"/>
      <c r="P13" s="782"/>
      <c r="Q13" s="782"/>
      <c r="R13" s="782"/>
      <c r="S13" s="782"/>
      <c r="T13" s="783">
        <v>2.5000000000000001E-2</v>
      </c>
      <c r="U13" s="784"/>
      <c r="V13" s="784"/>
    </row>
    <row r="14" spans="1:22" ht="15.75" x14ac:dyDescent="0.2">
      <c r="A14" s="802" t="s">
        <v>413</v>
      </c>
      <c r="B14" s="802"/>
      <c r="C14" s="802"/>
      <c r="D14" s="803"/>
      <c r="E14" s="803"/>
      <c r="F14" s="803"/>
      <c r="G14" s="803"/>
      <c r="H14" s="803"/>
      <c r="I14" s="803"/>
      <c r="J14" s="803"/>
      <c r="K14" s="803"/>
      <c r="L14" s="803"/>
      <c r="M14" s="803"/>
      <c r="N14" s="803"/>
      <c r="O14" s="803"/>
      <c r="P14" s="803"/>
      <c r="Q14" s="803"/>
      <c r="R14" s="803"/>
      <c r="S14" s="803"/>
      <c r="T14" s="783">
        <v>0.08</v>
      </c>
      <c r="U14" s="784"/>
      <c r="V14" s="784"/>
    </row>
    <row r="15" spans="1:22" ht="15.75" x14ac:dyDescent="0.2">
      <c r="A15" s="804" t="s">
        <v>414</v>
      </c>
      <c r="B15" s="805"/>
      <c r="C15" s="805"/>
      <c r="D15" s="806"/>
      <c r="E15" s="806"/>
      <c r="F15" s="806"/>
      <c r="G15" s="806"/>
      <c r="H15" s="806"/>
      <c r="I15" s="806"/>
      <c r="J15" s="806"/>
      <c r="K15" s="806"/>
      <c r="L15" s="806"/>
      <c r="M15" s="806"/>
      <c r="N15" s="806"/>
      <c r="O15" s="806"/>
      <c r="P15" s="806"/>
      <c r="Q15" s="806"/>
      <c r="R15" s="806"/>
      <c r="S15" s="807"/>
      <c r="T15" s="808">
        <f>D16*L16</f>
        <v>0.03</v>
      </c>
      <c r="U15" s="809"/>
      <c r="V15" s="810"/>
    </row>
    <row r="16" spans="1:22" ht="15.75" x14ac:dyDescent="0.2">
      <c r="A16" s="417"/>
      <c r="B16" s="814" t="s">
        <v>415</v>
      </c>
      <c r="C16" s="814"/>
      <c r="D16" s="815">
        <v>0.03</v>
      </c>
      <c r="E16" s="815"/>
      <c r="F16" s="815"/>
      <c r="G16" s="418"/>
      <c r="H16" s="418"/>
      <c r="I16" s="816" t="s">
        <v>416</v>
      </c>
      <c r="J16" s="816"/>
      <c r="K16" s="816"/>
      <c r="L16" s="817">
        <v>1</v>
      </c>
      <c r="M16" s="817"/>
      <c r="N16" s="817"/>
      <c r="O16" s="418"/>
      <c r="P16" s="418"/>
      <c r="Q16" s="418"/>
      <c r="R16" s="419"/>
      <c r="S16" s="420"/>
      <c r="T16" s="811"/>
      <c r="U16" s="812"/>
      <c r="V16" s="813"/>
    </row>
    <row r="17" spans="1:22" ht="15.75" x14ac:dyDescent="0.2">
      <c r="A17" s="793" t="s">
        <v>417</v>
      </c>
      <c r="B17" s="793"/>
      <c r="C17" s="793"/>
      <c r="D17" s="794"/>
      <c r="E17" s="794"/>
      <c r="F17" s="794"/>
      <c r="G17" s="794"/>
      <c r="H17" s="794"/>
      <c r="I17" s="794"/>
      <c r="J17" s="794"/>
      <c r="K17" s="794"/>
      <c r="L17" s="794"/>
      <c r="M17" s="794"/>
      <c r="N17" s="794"/>
      <c r="O17" s="794"/>
      <c r="P17" s="794"/>
      <c r="Q17" s="794"/>
      <c r="R17" s="794"/>
      <c r="S17" s="794"/>
      <c r="T17" s="783">
        <v>6.0000000000000001E-3</v>
      </c>
      <c r="U17" s="784"/>
      <c r="V17" s="784"/>
    </row>
    <row r="18" spans="1:22" ht="15.75" x14ac:dyDescent="0.2">
      <c r="A18" s="785" t="s">
        <v>418</v>
      </c>
      <c r="B18" s="786"/>
      <c r="C18" s="786"/>
      <c r="D18" s="787"/>
      <c r="E18" s="787"/>
      <c r="F18" s="787"/>
      <c r="G18" s="787"/>
      <c r="H18" s="787"/>
      <c r="I18" s="787"/>
      <c r="J18" s="787"/>
      <c r="K18" s="787"/>
      <c r="L18" s="787"/>
      <c r="M18" s="787"/>
      <c r="N18" s="787"/>
      <c r="O18" s="787"/>
      <c r="P18" s="787"/>
      <c r="Q18" s="787"/>
      <c r="R18" s="787"/>
      <c r="S18" s="788"/>
      <c r="T18" s="791">
        <f>SUM(T9:T17)</f>
        <v>0.3680000000000001</v>
      </c>
      <c r="U18" s="795"/>
      <c r="V18" s="795"/>
    </row>
    <row r="19" spans="1:22" ht="15.75" x14ac:dyDescent="0.2">
      <c r="A19" s="796"/>
      <c r="B19" s="797"/>
      <c r="C19" s="797"/>
      <c r="D19" s="797"/>
      <c r="E19" s="797"/>
      <c r="F19" s="797"/>
      <c r="G19" s="797"/>
      <c r="H19" s="797"/>
      <c r="I19" s="797"/>
      <c r="J19" s="797"/>
      <c r="K19" s="797"/>
      <c r="L19" s="797"/>
      <c r="M19" s="797"/>
      <c r="N19" s="797"/>
      <c r="O19" s="797"/>
      <c r="P19" s="797"/>
      <c r="Q19" s="797"/>
      <c r="R19" s="797"/>
      <c r="S19" s="797"/>
      <c r="T19" s="797"/>
      <c r="U19" s="797"/>
      <c r="V19" s="798"/>
    </row>
    <row r="20" spans="1:22" ht="15.75" x14ac:dyDescent="0.2">
      <c r="A20" s="799" t="s">
        <v>419</v>
      </c>
      <c r="B20" s="800"/>
      <c r="C20" s="800"/>
      <c r="D20" s="800"/>
      <c r="E20" s="800"/>
      <c r="F20" s="800"/>
      <c r="G20" s="800"/>
      <c r="H20" s="800"/>
      <c r="I20" s="800"/>
      <c r="J20" s="800"/>
      <c r="K20" s="800"/>
      <c r="L20" s="800"/>
      <c r="M20" s="800"/>
      <c r="N20" s="800"/>
      <c r="O20" s="800"/>
      <c r="P20" s="800"/>
      <c r="Q20" s="800"/>
      <c r="R20" s="800"/>
      <c r="S20" s="800"/>
      <c r="T20" s="800"/>
      <c r="U20" s="800"/>
      <c r="V20" s="801"/>
    </row>
    <row r="21" spans="1:22" ht="15.75" x14ac:dyDescent="0.2">
      <c r="A21" s="828" t="s">
        <v>73</v>
      </c>
      <c r="B21" s="806"/>
      <c r="C21" s="806"/>
      <c r="D21" s="806"/>
      <c r="E21" s="806"/>
      <c r="F21" s="832" t="s">
        <v>420</v>
      </c>
      <c r="G21" s="833"/>
      <c r="H21" s="833"/>
      <c r="I21" s="833"/>
      <c r="J21" s="833"/>
      <c r="K21" s="833"/>
      <c r="L21" s="833"/>
      <c r="M21" s="833"/>
      <c r="N21" s="833"/>
      <c r="O21" s="833"/>
      <c r="P21" s="833"/>
      <c r="Q21" s="833"/>
      <c r="R21" s="833"/>
      <c r="S21" s="834"/>
      <c r="T21" s="835">
        <f>F23/N23</f>
        <v>8.3333333333333329E-2</v>
      </c>
      <c r="U21" s="835"/>
      <c r="V21" s="836"/>
    </row>
    <row r="22" spans="1:22" ht="15.75" x14ac:dyDescent="0.2">
      <c r="A22" s="829"/>
      <c r="B22" s="830"/>
      <c r="C22" s="830"/>
      <c r="D22" s="830"/>
      <c r="E22" s="830"/>
      <c r="F22" s="423"/>
      <c r="G22" s="424"/>
      <c r="H22" s="424"/>
      <c r="I22" s="424"/>
      <c r="J22" s="424"/>
      <c r="K22" s="424"/>
      <c r="L22" s="424"/>
      <c r="M22" s="424"/>
      <c r="N22" s="424"/>
      <c r="O22" s="424"/>
      <c r="P22" s="424"/>
      <c r="Q22" s="424"/>
      <c r="R22" s="424"/>
      <c r="S22" s="425"/>
      <c r="T22" s="837"/>
      <c r="U22" s="837"/>
      <c r="V22" s="838"/>
    </row>
    <row r="23" spans="1:22" ht="15.75" x14ac:dyDescent="0.2">
      <c r="A23" s="831"/>
      <c r="B23" s="816"/>
      <c r="C23" s="816"/>
      <c r="D23" s="816"/>
      <c r="E23" s="816"/>
      <c r="F23" s="841">
        <v>1</v>
      </c>
      <c r="G23" s="842"/>
      <c r="H23" s="843"/>
      <c r="I23" s="843"/>
      <c r="J23" s="843"/>
      <c r="K23" s="843"/>
      <c r="L23" s="844"/>
      <c r="M23" s="429" t="s">
        <v>421</v>
      </c>
      <c r="N23" s="845">
        <v>12</v>
      </c>
      <c r="O23" s="845"/>
      <c r="P23" s="845"/>
      <c r="Q23" s="845"/>
      <c r="R23" s="845"/>
      <c r="S23" s="846"/>
      <c r="T23" s="839"/>
      <c r="U23" s="839"/>
      <c r="V23" s="840"/>
    </row>
    <row r="24" spans="1:22" ht="15.75" x14ac:dyDescent="0.2">
      <c r="A24" s="828" t="s">
        <v>422</v>
      </c>
      <c r="B24" s="806"/>
      <c r="C24" s="806"/>
      <c r="D24" s="806"/>
      <c r="E24" s="806"/>
      <c r="F24" s="832" t="s">
        <v>423</v>
      </c>
      <c r="G24" s="833"/>
      <c r="H24" s="833"/>
      <c r="I24" s="833"/>
      <c r="J24" s="833"/>
      <c r="K24" s="833"/>
      <c r="L24" s="833"/>
      <c r="M24" s="833"/>
      <c r="N24" s="833"/>
      <c r="O24" s="833"/>
      <c r="P24" s="833"/>
      <c r="Q24" s="833"/>
      <c r="R24" s="833"/>
      <c r="S24" s="834"/>
      <c r="T24" s="835">
        <f>F26/I26/L26</f>
        <v>2.7777777777777776E-2</v>
      </c>
      <c r="U24" s="835"/>
      <c r="V24" s="836"/>
    </row>
    <row r="25" spans="1:22" ht="15.75" x14ac:dyDescent="0.2">
      <c r="A25" s="829"/>
      <c r="B25" s="830"/>
      <c r="C25" s="830"/>
      <c r="D25" s="830"/>
      <c r="E25" s="830"/>
      <c r="F25" s="423"/>
      <c r="G25" s="424"/>
      <c r="H25" s="424"/>
      <c r="I25" s="424"/>
      <c r="J25" s="424"/>
      <c r="K25" s="424"/>
      <c r="L25" s="424"/>
      <c r="M25" s="424"/>
      <c r="N25" s="424"/>
      <c r="O25" s="424"/>
      <c r="P25" s="424"/>
      <c r="Q25" s="424"/>
      <c r="R25" s="424"/>
      <c r="S25" s="425"/>
      <c r="T25" s="837"/>
      <c r="U25" s="837"/>
      <c r="V25" s="838"/>
    </row>
    <row r="26" spans="1:22" ht="15.75" x14ac:dyDescent="0.2">
      <c r="A26" s="831"/>
      <c r="B26" s="816"/>
      <c r="C26" s="816"/>
      <c r="D26" s="816"/>
      <c r="E26" s="816"/>
      <c r="F26" s="426">
        <v>1</v>
      </c>
      <c r="G26" s="427"/>
      <c r="H26" s="428" t="s">
        <v>424</v>
      </c>
      <c r="I26" s="428">
        <v>3</v>
      </c>
      <c r="J26" s="428"/>
      <c r="K26" s="429" t="s">
        <v>421</v>
      </c>
      <c r="L26" s="430">
        <v>12</v>
      </c>
      <c r="M26" s="415"/>
      <c r="N26" s="415"/>
      <c r="O26" s="415"/>
      <c r="P26" s="415"/>
      <c r="Q26" s="415"/>
      <c r="R26" s="415"/>
      <c r="S26" s="431"/>
      <c r="T26" s="839"/>
      <c r="U26" s="839"/>
      <c r="V26" s="840"/>
    </row>
    <row r="27" spans="1:22" ht="15.75" x14ac:dyDescent="0.2">
      <c r="A27" s="818" t="s">
        <v>91</v>
      </c>
      <c r="B27" s="803"/>
      <c r="C27" s="803"/>
      <c r="D27" s="803"/>
      <c r="E27" s="803"/>
      <c r="F27" s="803"/>
      <c r="G27" s="803"/>
      <c r="H27" s="803"/>
      <c r="I27" s="803"/>
      <c r="J27" s="803"/>
      <c r="K27" s="803"/>
      <c r="L27" s="803"/>
      <c r="M27" s="803"/>
      <c r="N27" s="803"/>
      <c r="O27" s="803"/>
      <c r="P27" s="803"/>
      <c r="Q27" s="803"/>
      <c r="R27" s="803"/>
      <c r="S27" s="803"/>
      <c r="T27" s="819">
        <f>SUM(T21:V26)</f>
        <v>0.1111111111111111</v>
      </c>
      <c r="U27" s="784"/>
      <c r="V27" s="784"/>
    </row>
    <row r="28" spans="1:22" ht="15.75" x14ac:dyDescent="0.2">
      <c r="A28" s="820" t="s">
        <v>425</v>
      </c>
      <c r="B28" s="797"/>
      <c r="C28" s="797"/>
      <c r="D28" s="797"/>
      <c r="E28" s="797"/>
      <c r="F28" s="797"/>
      <c r="G28" s="797"/>
      <c r="H28" s="797"/>
      <c r="I28" s="797"/>
      <c r="J28" s="797"/>
      <c r="K28" s="797"/>
      <c r="L28" s="797"/>
      <c r="M28" s="797"/>
      <c r="N28" s="797"/>
      <c r="O28" s="821">
        <f>T18</f>
        <v>0.3680000000000001</v>
      </c>
      <c r="P28" s="822"/>
      <c r="Q28" s="434" t="s">
        <v>426</v>
      </c>
      <c r="R28" s="823">
        <f>T27</f>
        <v>0.1111111111111111</v>
      </c>
      <c r="S28" s="824"/>
      <c r="T28" s="825">
        <f>O28*R28</f>
        <v>4.0888888888888898E-2</v>
      </c>
      <c r="U28" s="826"/>
      <c r="V28" s="827"/>
    </row>
    <row r="29" spans="1:22" ht="15.75" x14ac:dyDescent="0.2">
      <c r="A29" s="847" t="s">
        <v>427</v>
      </c>
      <c r="B29" s="848"/>
      <c r="C29" s="848"/>
      <c r="D29" s="848"/>
      <c r="E29" s="848"/>
      <c r="F29" s="848"/>
      <c r="G29" s="848"/>
      <c r="H29" s="848"/>
      <c r="I29" s="848"/>
      <c r="J29" s="848"/>
      <c r="K29" s="848"/>
      <c r="L29" s="848"/>
      <c r="M29" s="848"/>
      <c r="N29" s="848"/>
      <c r="O29" s="848"/>
      <c r="P29" s="848"/>
      <c r="Q29" s="848"/>
      <c r="R29" s="848"/>
      <c r="S29" s="848"/>
      <c r="T29" s="849">
        <f>SUM(T27:V28)</f>
        <v>0.152</v>
      </c>
      <c r="U29" s="850"/>
      <c r="V29" s="850"/>
    </row>
    <row r="30" spans="1:22" ht="15.75" x14ac:dyDescent="0.2">
      <c r="A30" s="440"/>
      <c r="B30" s="441"/>
      <c r="C30" s="441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2"/>
      <c r="U30" s="443"/>
      <c r="V30" s="444"/>
    </row>
    <row r="31" spans="1:22" ht="15.75" x14ac:dyDescent="0.2">
      <c r="A31" s="799" t="s">
        <v>428</v>
      </c>
      <c r="B31" s="800"/>
      <c r="C31" s="800"/>
      <c r="D31" s="800"/>
      <c r="E31" s="800"/>
      <c r="F31" s="800"/>
      <c r="G31" s="800"/>
      <c r="H31" s="800"/>
      <c r="I31" s="800"/>
      <c r="J31" s="800"/>
      <c r="K31" s="800"/>
      <c r="L31" s="800"/>
      <c r="M31" s="800"/>
      <c r="N31" s="800"/>
      <c r="O31" s="800"/>
      <c r="P31" s="800"/>
      <c r="Q31" s="800"/>
      <c r="R31" s="800"/>
      <c r="S31" s="800"/>
      <c r="T31" s="800"/>
      <c r="U31" s="800"/>
      <c r="V31" s="801"/>
    </row>
    <row r="32" spans="1:22" ht="15.75" x14ac:dyDescent="0.2">
      <c r="A32" s="852" t="s">
        <v>429</v>
      </c>
      <c r="B32" s="853"/>
      <c r="C32" s="853"/>
      <c r="D32" s="853"/>
      <c r="E32" s="853"/>
      <c r="F32" s="856" t="s">
        <v>430</v>
      </c>
      <c r="G32" s="857"/>
      <c r="H32" s="857"/>
      <c r="I32" s="857"/>
      <c r="J32" s="857"/>
      <c r="K32" s="857"/>
      <c r="L32" s="857"/>
      <c r="M32" s="857"/>
      <c r="N32" s="857"/>
      <c r="O32" s="857"/>
      <c r="P32" s="857"/>
      <c r="Q32" s="857"/>
      <c r="R32" s="857"/>
      <c r="S32" s="858"/>
      <c r="T32" s="835">
        <f>F33*I33*L33</f>
        <v>7.407407407407407E-4</v>
      </c>
      <c r="U32" s="835"/>
      <c r="V32" s="836"/>
    </row>
    <row r="33" spans="1:22" ht="15.75" x14ac:dyDescent="0.2">
      <c r="A33" s="854"/>
      <c r="B33" s="855"/>
      <c r="C33" s="855"/>
      <c r="D33" s="855"/>
      <c r="E33" s="855"/>
      <c r="F33" s="859">
        <f>(1+1/3)*1/12</f>
        <v>0.1111111111111111</v>
      </c>
      <c r="G33" s="860"/>
      <c r="H33" s="445" t="s">
        <v>426</v>
      </c>
      <c r="I33" s="861">
        <v>0.02</v>
      </c>
      <c r="J33" s="861"/>
      <c r="K33" s="446" t="s">
        <v>426</v>
      </c>
      <c r="L33" s="862">
        <f>4/12</f>
        <v>0.33333333333333331</v>
      </c>
      <c r="M33" s="862"/>
      <c r="N33" s="445"/>
      <c r="O33" s="862"/>
      <c r="P33" s="862"/>
      <c r="Q33" s="447"/>
      <c r="R33" s="447"/>
      <c r="S33" s="448"/>
      <c r="T33" s="839"/>
      <c r="U33" s="839"/>
      <c r="V33" s="840"/>
    </row>
    <row r="34" spans="1:22" ht="15.75" x14ac:dyDescent="0.2">
      <c r="A34" s="820" t="s">
        <v>431</v>
      </c>
      <c r="B34" s="797"/>
      <c r="C34" s="797"/>
      <c r="D34" s="797"/>
      <c r="E34" s="797"/>
      <c r="F34" s="797"/>
      <c r="G34" s="797"/>
      <c r="H34" s="797"/>
      <c r="I34" s="797"/>
      <c r="J34" s="797"/>
      <c r="K34" s="797"/>
      <c r="L34" s="797"/>
      <c r="M34" s="797"/>
      <c r="N34" s="797"/>
      <c r="O34" s="449"/>
      <c r="P34" s="449"/>
      <c r="Q34" s="450"/>
      <c r="R34" s="450"/>
      <c r="S34" s="451"/>
      <c r="T34" s="819">
        <f>(T18*T32)</f>
        <v>2.7259259259259267E-4</v>
      </c>
      <c r="U34" s="784"/>
      <c r="V34" s="784"/>
    </row>
    <row r="35" spans="1:22" ht="15.75" x14ac:dyDescent="0.2">
      <c r="A35" s="432" t="s">
        <v>432</v>
      </c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452">
        <f>T18</f>
        <v>0.3680000000000001</v>
      </c>
      <c r="N35" s="434" t="s">
        <v>426</v>
      </c>
      <c r="O35" s="449">
        <f>4/12</f>
        <v>0.33333333333333331</v>
      </c>
      <c r="P35" s="449"/>
      <c r="Q35" s="450" t="s">
        <v>426</v>
      </c>
      <c r="R35" s="450">
        <v>0.02</v>
      </c>
      <c r="S35" s="451"/>
      <c r="T35" s="819">
        <f>M35*O35*R35</f>
        <v>2.4533333333333343E-3</v>
      </c>
      <c r="U35" s="784"/>
      <c r="V35" s="784"/>
    </row>
    <row r="36" spans="1:22" ht="15.75" x14ac:dyDescent="0.2">
      <c r="A36" s="847" t="s">
        <v>433</v>
      </c>
      <c r="B36" s="848"/>
      <c r="C36" s="848"/>
      <c r="D36" s="848"/>
      <c r="E36" s="848"/>
      <c r="F36" s="848"/>
      <c r="G36" s="848"/>
      <c r="H36" s="848"/>
      <c r="I36" s="848"/>
      <c r="J36" s="848"/>
      <c r="K36" s="848"/>
      <c r="L36" s="848"/>
      <c r="M36" s="848"/>
      <c r="N36" s="848"/>
      <c r="O36" s="848"/>
      <c r="P36" s="848"/>
      <c r="Q36" s="848"/>
      <c r="R36" s="848"/>
      <c r="S36" s="848"/>
      <c r="T36" s="849">
        <f>SUM(T32:V35)</f>
        <v>3.4666666666666674E-3</v>
      </c>
      <c r="U36" s="850"/>
      <c r="V36" s="850"/>
    </row>
    <row r="37" spans="1:22" ht="15.75" x14ac:dyDescent="0.2">
      <c r="A37" s="440"/>
      <c r="B37" s="441"/>
      <c r="C37" s="441"/>
      <c r="D37" s="441"/>
      <c r="E37" s="441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42"/>
      <c r="U37" s="443"/>
      <c r="V37" s="444"/>
    </row>
    <row r="38" spans="1:22" ht="15.75" x14ac:dyDescent="0.2">
      <c r="A38" s="799" t="s">
        <v>434</v>
      </c>
      <c r="B38" s="800"/>
      <c r="C38" s="800"/>
      <c r="D38" s="800"/>
      <c r="E38" s="800"/>
      <c r="F38" s="851"/>
      <c r="G38" s="851"/>
      <c r="H38" s="851"/>
      <c r="I38" s="851"/>
      <c r="J38" s="851"/>
      <c r="K38" s="851"/>
      <c r="L38" s="851"/>
      <c r="M38" s="851"/>
      <c r="N38" s="851"/>
      <c r="O38" s="851"/>
      <c r="P38" s="851"/>
      <c r="Q38" s="851"/>
      <c r="R38" s="851"/>
      <c r="S38" s="851"/>
      <c r="T38" s="800"/>
      <c r="U38" s="800"/>
      <c r="V38" s="801"/>
    </row>
    <row r="39" spans="1:22" x14ac:dyDescent="0.2">
      <c r="A39" s="829" t="s">
        <v>77</v>
      </c>
      <c r="B39" s="830"/>
      <c r="C39" s="830"/>
      <c r="D39" s="830"/>
      <c r="E39" s="830"/>
      <c r="F39" s="832" t="s">
        <v>435</v>
      </c>
      <c r="G39" s="833"/>
      <c r="H39" s="833"/>
      <c r="I39" s="833"/>
      <c r="J39" s="833"/>
      <c r="K39" s="833"/>
      <c r="L39" s="833"/>
      <c r="M39" s="833"/>
      <c r="N39" s="833"/>
      <c r="O39" s="833"/>
      <c r="P39" s="833"/>
      <c r="Q39" s="833"/>
      <c r="R39" s="833"/>
      <c r="S39" s="834"/>
      <c r="T39" s="835">
        <f>(G44/I44*K44)</f>
        <v>2.9166666666666668E-3</v>
      </c>
      <c r="U39" s="835"/>
      <c r="V39" s="836"/>
    </row>
    <row r="40" spans="1:22" x14ac:dyDescent="0.2">
      <c r="A40" s="829"/>
      <c r="B40" s="830"/>
      <c r="C40" s="830"/>
      <c r="D40" s="830"/>
      <c r="E40" s="830"/>
      <c r="F40" s="873"/>
      <c r="G40" s="874"/>
      <c r="H40" s="874"/>
      <c r="I40" s="874"/>
      <c r="J40" s="874"/>
      <c r="K40" s="874"/>
      <c r="L40" s="874"/>
      <c r="M40" s="874"/>
      <c r="N40" s="874"/>
      <c r="O40" s="874"/>
      <c r="P40" s="874"/>
      <c r="Q40" s="874"/>
      <c r="R40" s="874"/>
      <c r="S40" s="875"/>
      <c r="T40" s="837"/>
      <c r="U40" s="837"/>
      <c r="V40" s="838"/>
    </row>
    <row r="41" spans="1:22" x14ac:dyDescent="0.2">
      <c r="A41" s="829"/>
      <c r="B41" s="830"/>
      <c r="C41" s="830"/>
      <c r="D41" s="830"/>
      <c r="E41" s="830"/>
      <c r="F41" s="873"/>
      <c r="G41" s="874"/>
      <c r="H41" s="874"/>
      <c r="I41" s="874"/>
      <c r="J41" s="874"/>
      <c r="K41" s="874"/>
      <c r="L41" s="874"/>
      <c r="M41" s="874"/>
      <c r="N41" s="874"/>
      <c r="O41" s="874"/>
      <c r="P41" s="874"/>
      <c r="Q41" s="874"/>
      <c r="R41" s="874"/>
      <c r="S41" s="875"/>
      <c r="T41" s="837"/>
      <c r="U41" s="837"/>
      <c r="V41" s="838"/>
    </row>
    <row r="42" spans="1:22" x14ac:dyDescent="0.2">
      <c r="A42" s="829"/>
      <c r="B42" s="830"/>
      <c r="C42" s="830"/>
      <c r="D42" s="830"/>
      <c r="E42" s="830"/>
      <c r="F42" s="873"/>
      <c r="G42" s="874"/>
      <c r="H42" s="874"/>
      <c r="I42" s="874"/>
      <c r="J42" s="874"/>
      <c r="K42" s="874"/>
      <c r="L42" s="874"/>
      <c r="M42" s="874"/>
      <c r="N42" s="874"/>
      <c r="O42" s="874"/>
      <c r="P42" s="874"/>
      <c r="Q42" s="874"/>
      <c r="R42" s="874"/>
      <c r="S42" s="875"/>
      <c r="T42" s="837"/>
      <c r="U42" s="837"/>
      <c r="V42" s="838"/>
    </row>
    <row r="43" spans="1:22" x14ac:dyDescent="0.2">
      <c r="A43" s="829"/>
      <c r="B43" s="830"/>
      <c r="C43" s="830"/>
      <c r="D43" s="830"/>
      <c r="E43" s="830"/>
      <c r="F43" s="873"/>
      <c r="G43" s="874"/>
      <c r="H43" s="874"/>
      <c r="I43" s="874"/>
      <c r="J43" s="874"/>
      <c r="K43" s="874"/>
      <c r="L43" s="874"/>
      <c r="M43" s="874"/>
      <c r="N43" s="874"/>
      <c r="O43" s="874"/>
      <c r="P43" s="874"/>
      <c r="Q43" s="874"/>
      <c r="R43" s="874"/>
      <c r="S43" s="875"/>
      <c r="T43" s="837"/>
      <c r="U43" s="837"/>
      <c r="V43" s="838"/>
    </row>
    <row r="44" spans="1:22" ht="15.75" x14ac:dyDescent="0.2">
      <c r="A44" s="831"/>
      <c r="B44" s="816"/>
      <c r="C44" s="816"/>
      <c r="D44" s="816"/>
      <c r="E44" s="816"/>
      <c r="F44" s="426" t="s">
        <v>436</v>
      </c>
      <c r="G44" s="454">
        <v>1</v>
      </c>
      <c r="H44" s="445" t="s">
        <v>424</v>
      </c>
      <c r="I44" s="445">
        <v>12</v>
      </c>
      <c r="J44" s="445" t="s">
        <v>426</v>
      </c>
      <c r="K44" s="876">
        <v>3.5000000000000003E-2</v>
      </c>
      <c r="L44" s="877"/>
      <c r="M44" s="455" t="s">
        <v>437</v>
      </c>
      <c r="N44" s="418"/>
      <c r="O44" s="418"/>
      <c r="P44" s="418"/>
      <c r="Q44" s="418"/>
      <c r="R44" s="419"/>
      <c r="S44" s="420"/>
      <c r="T44" s="839"/>
      <c r="U44" s="839"/>
      <c r="V44" s="840"/>
    </row>
    <row r="45" spans="1:22" ht="15.75" x14ac:dyDescent="0.2">
      <c r="A45" s="832" t="s">
        <v>438</v>
      </c>
      <c r="B45" s="878"/>
      <c r="C45" s="878"/>
      <c r="D45" s="878"/>
      <c r="E45" s="879"/>
      <c r="F45" s="883"/>
      <c r="G45" s="884"/>
      <c r="H45" s="884"/>
      <c r="I45" s="884"/>
      <c r="J45" s="884"/>
      <c r="K45" s="884"/>
      <c r="L45" s="884"/>
      <c r="M45" s="884"/>
      <c r="N45" s="884"/>
      <c r="O45" s="884"/>
      <c r="P45" s="884"/>
      <c r="Q45" s="884"/>
      <c r="R45" s="884"/>
      <c r="S45" s="885"/>
      <c r="T45" s="835">
        <f>(F46+I46)*M46</f>
        <v>5.6712962962962956E-4</v>
      </c>
      <c r="U45" s="835"/>
      <c r="V45" s="836"/>
    </row>
    <row r="46" spans="1:22" ht="15.75" x14ac:dyDescent="0.2">
      <c r="A46" s="880"/>
      <c r="B46" s="881"/>
      <c r="C46" s="881"/>
      <c r="D46" s="881"/>
      <c r="E46" s="882"/>
      <c r="F46" s="886">
        <f>(1+1/3)*1/12</f>
        <v>0.1111111111111111</v>
      </c>
      <c r="G46" s="863"/>
      <c r="H46" s="445" t="s">
        <v>439</v>
      </c>
      <c r="I46" s="863">
        <f>1/12</f>
        <v>8.3333333333333329E-2</v>
      </c>
      <c r="J46" s="863"/>
      <c r="K46" s="867" t="s">
        <v>426</v>
      </c>
      <c r="L46" s="816"/>
      <c r="M46" s="863">
        <f>T39</f>
        <v>2.9166666666666668E-3</v>
      </c>
      <c r="N46" s="863"/>
      <c r="O46" s="418"/>
      <c r="P46" s="418"/>
      <c r="Q46" s="418"/>
      <c r="R46" s="419"/>
      <c r="S46" s="420"/>
      <c r="T46" s="839"/>
      <c r="U46" s="839"/>
      <c r="V46" s="840"/>
    </row>
    <row r="47" spans="1:22" ht="15.75" x14ac:dyDescent="0.2">
      <c r="A47" s="796" t="s">
        <v>91</v>
      </c>
      <c r="B47" s="797"/>
      <c r="C47" s="797"/>
      <c r="D47" s="797"/>
      <c r="E47" s="797"/>
      <c r="F47" s="797"/>
      <c r="G47" s="797"/>
      <c r="H47" s="797"/>
      <c r="I47" s="797"/>
      <c r="J47" s="797"/>
      <c r="K47" s="797"/>
      <c r="L47" s="797"/>
      <c r="M47" s="797"/>
      <c r="N47" s="797"/>
      <c r="O47" s="797"/>
      <c r="P47" s="797"/>
      <c r="Q47" s="797"/>
      <c r="R47" s="797"/>
      <c r="S47" s="798"/>
      <c r="T47" s="864">
        <f>SUM(T39:V46)</f>
        <v>3.4837962962962965E-3</v>
      </c>
      <c r="U47" s="865"/>
      <c r="V47" s="866"/>
    </row>
    <row r="48" spans="1:22" ht="15.75" x14ac:dyDescent="0.2">
      <c r="A48" s="432" t="s">
        <v>440</v>
      </c>
      <c r="B48" s="421"/>
      <c r="C48" s="421"/>
      <c r="D48" s="421"/>
      <c r="E48" s="421"/>
      <c r="F48" s="418"/>
      <c r="G48" s="418"/>
      <c r="H48" s="418"/>
      <c r="I48" s="418"/>
      <c r="J48" s="418"/>
      <c r="K48" s="418"/>
      <c r="L48" s="418"/>
      <c r="M48" s="460">
        <f>T18</f>
        <v>0.3680000000000001</v>
      </c>
      <c r="N48" s="418" t="s">
        <v>426</v>
      </c>
      <c r="O48" s="867">
        <f>1/12</f>
        <v>8.3333333333333329E-2</v>
      </c>
      <c r="P48" s="868"/>
      <c r="Q48" s="455" t="s">
        <v>426</v>
      </c>
      <c r="R48" s="869">
        <f>T39</f>
        <v>2.9166666666666668E-3</v>
      </c>
      <c r="S48" s="870"/>
      <c r="T48" s="871">
        <f>(O48*R48*M48)</f>
        <v>8.944444444444447E-5</v>
      </c>
      <c r="U48" s="871"/>
      <c r="V48" s="872"/>
    </row>
    <row r="49" spans="1:22" ht="15.75" x14ac:dyDescent="0.2">
      <c r="A49" s="832" t="s">
        <v>441</v>
      </c>
      <c r="B49" s="878"/>
      <c r="C49" s="878"/>
      <c r="D49" s="878"/>
      <c r="E49" s="879"/>
      <c r="F49" s="461"/>
      <c r="G49" s="456"/>
      <c r="H49" s="456"/>
      <c r="I49" s="456"/>
      <c r="J49" s="456"/>
      <c r="K49" s="456"/>
      <c r="L49" s="456"/>
      <c r="M49" s="456"/>
      <c r="N49" s="456"/>
      <c r="O49" s="456"/>
      <c r="P49" s="456"/>
      <c r="Q49" s="456"/>
      <c r="R49" s="456"/>
      <c r="S49" s="457"/>
      <c r="T49" s="901">
        <f>(F50*I50*L50)</f>
        <v>1.3935185185185185E-4</v>
      </c>
      <c r="U49" s="902"/>
      <c r="V49" s="903"/>
    </row>
    <row r="50" spans="1:22" ht="15.75" x14ac:dyDescent="0.2">
      <c r="A50" s="873"/>
      <c r="B50" s="899"/>
      <c r="C50" s="899"/>
      <c r="D50" s="899"/>
      <c r="E50" s="900"/>
      <c r="F50" s="907">
        <f>T14</f>
        <v>0.08</v>
      </c>
      <c r="G50" s="908"/>
      <c r="H50" s="458" t="s">
        <v>426</v>
      </c>
      <c r="I50" s="898">
        <v>0.5</v>
      </c>
      <c r="J50" s="898"/>
      <c r="K50" s="458" t="s">
        <v>426</v>
      </c>
      <c r="L50" s="898">
        <f>T47</f>
        <v>3.4837962962962965E-3</v>
      </c>
      <c r="M50" s="898"/>
      <c r="N50" s="458"/>
      <c r="O50" s="458"/>
      <c r="P50" s="458"/>
      <c r="Q50" s="458"/>
      <c r="R50" s="458"/>
      <c r="S50" s="459"/>
      <c r="T50" s="904"/>
      <c r="U50" s="905"/>
      <c r="V50" s="906"/>
    </row>
    <row r="51" spans="1:22" x14ac:dyDescent="0.2">
      <c r="A51" s="887" t="s">
        <v>442</v>
      </c>
      <c r="B51" s="887"/>
      <c r="C51" s="887"/>
      <c r="D51" s="887"/>
      <c r="E51" s="887"/>
      <c r="F51" s="909" t="s">
        <v>443</v>
      </c>
      <c r="G51" s="878"/>
      <c r="H51" s="878"/>
      <c r="I51" s="878"/>
      <c r="J51" s="878"/>
      <c r="K51" s="878"/>
      <c r="L51" s="878"/>
      <c r="M51" s="878"/>
      <c r="N51" s="878"/>
      <c r="O51" s="878"/>
      <c r="P51" s="878"/>
      <c r="Q51" s="878"/>
      <c r="R51" s="878"/>
      <c r="S51" s="879"/>
      <c r="T51" s="808">
        <f>F55*I55</f>
        <v>0.04</v>
      </c>
      <c r="U51" s="835"/>
      <c r="V51" s="836"/>
    </row>
    <row r="52" spans="1:22" x14ac:dyDescent="0.2">
      <c r="A52" s="887"/>
      <c r="B52" s="887"/>
      <c r="C52" s="887"/>
      <c r="D52" s="887"/>
      <c r="E52" s="887"/>
      <c r="F52" s="910"/>
      <c r="G52" s="899"/>
      <c r="H52" s="899"/>
      <c r="I52" s="899"/>
      <c r="J52" s="899"/>
      <c r="K52" s="899"/>
      <c r="L52" s="899"/>
      <c r="M52" s="899"/>
      <c r="N52" s="899"/>
      <c r="O52" s="899"/>
      <c r="P52" s="899"/>
      <c r="Q52" s="899"/>
      <c r="R52" s="899"/>
      <c r="S52" s="900"/>
      <c r="T52" s="894"/>
      <c r="U52" s="837"/>
      <c r="V52" s="838"/>
    </row>
    <row r="53" spans="1:22" x14ac:dyDescent="0.2">
      <c r="A53" s="887"/>
      <c r="B53" s="887"/>
      <c r="C53" s="887"/>
      <c r="D53" s="887"/>
      <c r="E53" s="887"/>
      <c r="F53" s="910"/>
      <c r="G53" s="899"/>
      <c r="H53" s="899"/>
      <c r="I53" s="899"/>
      <c r="J53" s="899"/>
      <c r="K53" s="899"/>
      <c r="L53" s="899"/>
      <c r="M53" s="899"/>
      <c r="N53" s="899"/>
      <c r="O53" s="899"/>
      <c r="P53" s="899"/>
      <c r="Q53" s="899"/>
      <c r="R53" s="899"/>
      <c r="S53" s="900"/>
      <c r="T53" s="894"/>
      <c r="U53" s="837"/>
      <c r="V53" s="838"/>
    </row>
    <row r="54" spans="1:22" x14ac:dyDescent="0.2">
      <c r="A54" s="887"/>
      <c r="B54" s="887"/>
      <c r="C54" s="887"/>
      <c r="D54" s="887"/>
      <c r="E54" s="887"/>
      <c r="F54" s="910"/>
      <c r="G54" s="899"/>
      <c r="H54" s="899"/>
      <c r="I54" s="899"/>
      <c r="J54" s="899"/>
      <c r="K54" s="899"/>
      <c r="L54" s="899"/>
      <c r="M54" s="899"/>
      <c r="N54" s="899"/>
      <c r="O54" s="899"/>
      <c r="P54" s="899"/>
      <c r="Q54" s="899"/>
      <c r="R54" s="899"/>
      <c r="S54" s="900"/>
      <c r="T54" s="894"/>
      <c r="U54" s="837"/>
      <c r="V54" s="838"/>
    </row>
    <row r="55" spans="1:22" ht="15.75" x14ac:dyDescent="0.2">
      <c r="A55" s="887"/>
      <c r="B55" s="887"/>
      <c r="C55" s="887"/>
      <c r="D55" s="887"/>
      <c r="E55" s="887"/>
      <c r="F55" s="911">
        <f>F50</f>
        <v>0.08</v>
      </c>
      <c r="G55" s="912"/>
      <c r="H55" s="462" t="s">
        <v>426</v>
      </c>
      <c r="I55" s="913">
        <v>0.5</v>
      </c>
      <c r="J55" s="913"/>
      <c r="K55" s="462"/>
      <c r="L55" s="462"/>
      <c r="M55" s="462"/>
      <c r="N55" s="462"/>
      <c r="O55" s="462"/>
      <c r="P55" s="462"/>
      <c r="Q55" s="462"/>
      <c r="R55" s="462"/>
      <c r="S55" s="463"/>
      <c r="T55" s="895"/>
      <c r="U55" s="839"/>
      <c r="V55" s="840"/>
    </row>
    <row r="56" spans="1:22" x14ac:dyDescent="0.2">
      <c r="A56" s="887" t="s">
        <v>444</v>
      </c>
      <c r="B56" s="887"/>
      <c r="C56" s="887"/>
      <c r="D56" s="887"/>
      <c r="E56" s="887"/>
      <c r="F56" s="888" t="s">
        <v>445</v>
      </c>
      <c r="G56" s="889"/>
      <c r="H56" s="889"/>
      <c r="I56" s="889"/>
      <c r="J56" s="889"/>
      <c r="K56" s="889"/>
      <c r="L56" s="889"/>
      <c r="M56" s="889"/>
      <c r="N56" s="889"/>
      <c r="O56" s="889"/>
      <c r="P56" s="889"/>
      <c r="Q56" s="889"/>
      <c r="R56" s="889"/>
      <c r="S56" s="890"/>
      <c r="T56" s="808">
        <f>F58/I58*L58</f>
        <v>8.3333333333333328E-4</v>
      </c>
      <c r="U56" s="835"/>
      <c r="V56" s="836"/>
    </row>
    <row r="57" spans="1:22" x14ac:dyDescent="0.2">
      <c r="A57" s="887"/>
      <c r="B57" s="887"/>
      <c r="C57" s="887"/>
      <c r="D57" s="887"/>
      <c r="E57" s="887"/>
      <c r="F57" s="891"/>
      <c r="G57" s="892"/>
      <c r="H57" s="892"/>
      <c r="I57" s="892"/>
      <c r="J57" s="892"/>
      <c r="K57" s="892"/>
      <c r="L57" s="892"/>
      <c r="M57" s="892"/>
      <c r="N57" s="892"/>
      <c r="O57" s="892"/>
      <c r="P57" s="892"/>
      <c r="Q57" s="892"/>
      <c r="R57" s="892"/>
      <c r="S57" s="893"/>
      <c r="T57" s="894"/>
      <c r="U57" s="837"/>
      <c r="V57" s="838"/>
    </row>
    <row r="58" spans="1:22" ht="15.75" x14ac:dyDescent="0.2">
      <c r="A58" s="887"/>
      <c r="B58" s="887"/>
      <c r="C58" s="887"/>
      <c r="D58" s="887"/>
      <c r="E58" s="887"/>
      <c r="F58" s="896">
        <v>1</v>
      </c>
      <c r="G58" s="897"/>
      <c r="H58" s="458" t="s">
        <v>424</v>
      </c>
      <c r="I58" s="897">
        <v>12</v>
      </c>
      <c r="J58" s="897"/>
      <c r="K58" s="458" t="s">
        <v>426</v>
      </c>
      <c r="L58" s="898">
        <v>0.01</v>
      </c>
      <c r="M58" s="898"/>
      <c r="N58" s="458"/>
      <c r="O58" s="458"/>
      <c r="P58" s="458"/>
      <c r="Q58" s="458"/>
      <c r="R58" s="458"/>
      <c r="S58" s="459"/>
      <c r="T58" s="895"/>
      <c r="U58" s="839"/>
      <c r="V58" s="840"/>
    </row>
    <row r="59" spans="1:22" ht="15.75" x14ac:dyDescent="0.2">
      <c r="A59" s="847" t="s">
        <v>446</v>
      </c>
      <c r="B59" s="848"/>
      <c r="C59" s="848"/>
      <c r="D59" s="848"/>
      <c r="E59" s="848"/>
      <c r="F59" s="848"/>
      <c r="G59" s="848"/>
      <c r="H59" s="848"/>
      <c r="I59" s="848"/>
      <c r="J59" s="848"/>
      <c r="K59" s="848"/>
      <c r="L59" s="848"/>
      <c r="M59" s="848"/>
      <c r="N59" s="848"/>
      <c r="O59" s="848"/>
      <c r="P59" s="848"/>
      <c r="Q59" s="848"/>
      <c r="R59" s="848"/>
      <c r="S59" s="848"/>
      <c r="T59" s="849">
        <f>SUM(T47:V58)</f>
        <v>4.4545925925925926E-2</v>
      </c>
      <c r="U59" s="914"/>
      <c r="V59" s="914"/>
    </row>
    <row r="60" spans="1:22" ht="15.75" x14ac:dyDescent="0.2">
      <c r="A60" s="440"/>
      <c r="B60" s="464"/>
      <c r="C60" s="464"/>
      <c r="D60" s="464"/>
      <c r="E60" s="464"/>
      <c r="F60" s="464"/>
      <c r="G60" s="464"/>
      <c r="H60" s="464"/>
      <c r="I60" s="464"/>
      <c r="J60" s="464"/>
      <c r="K60" s="464"/>
      <c r="L60" s="464"/>
      <c r="M60" s="464"/>
      <c r="N60" s="464"/>
      <c r="O60" s="464"/>
      <c r="P60" s="464"/>
      <c r="Q60" s="464"/>
      <c r="R60" s="464"/>
      <c r="S60" s="464"/>
      <c r="T60" s="442"/>
      <c r="U60" s="465"/>
      <c r="V60" s="466"/>
    </row>
    <row r="61" spans="1:22" ht="15.75" x14ac:dyDescent="0.2">
      <c r="A61" s="799" t="s">
        <v>447</v>
      </c>
      <c r="B61" s="800"/>
      <c r="C61" s="800"/>
      <c r="D61" s="800"/>
      <c r="E61" s="800"/>
      <c r="F61" s="800"/>
      <c r="G61" s="800"/>
      <c r="H61" s="800"/>
      <c r="I61" s="800"/>
      <c r="J61" s="800"/>
      <c r="K61" s="800"/>
      <c r="L61" s="800"/>
      <c r="M61" s="800"/>
      <c r="N61" s="800"/>
      <c r="O61" s="800"/>
      <c r="P61" s="800"/>
      <c r="Q61" s="800"/>
      <c r="R61" s="800"/>
      <c r="S61" s="800"/>
      <c r="T61" s="800"/>
      <c r="U61" s="800"/>
      <c r="V61" s="801"/>
    </row>
    <row r="62" spans="1:22" x14ac:dyDescent="0.2">
      <c r="A62" s="829" t="s">
        <v>448</v>
      </c>
      <c r="B62" s="830"/>
      <c r="C62" s="830"/>
      <c r="D62" s="830"/>
      <c r="E62" s="830"/>
      <c r="F62" s="832" t="s">
        <v>449</v>
      </c>
      <c r="G62" s="833"/>
      <c r="H62" s="833"/>
      <c r="I62" s="833"/>
      <c r="J62" s="833"/>
      <c r="K62" s="833"/>
      <c r="L62" s="833"/>
      <c r="M62" s="833"/>
      <c r="N62" s="833"/>
      <c r="O62" s="833"/>
      <c r="P62" s="833"/>
      <c r="Q62" s="833"/>
      <c r="R62" s="833"/>
      <c r="S62" s="834"/>
      <c r="T62" s="835">
        <f>F65/I65</f>
        <v>8.3333333333333329E-2</v>
      </c>
      <c r="U62" s="835"/>
      <c r="V62" s="836"/>
    </row>
    <row r="63" spans="1:22" x14ac:dyDescent="0.2">
      <c r="A63" s="829"/>
      <c r="B63" s="830"/>
      <c r="C63" s="830"/>
      <c r="D63" s="830"/>
      <c r="E63" s="830"/>
      <c r="F63" s="873"/>
      <c r="G63" s="874"/>
      <c r="H63" s="874"/>
      <c r="I63" s="874"/>
      <c r="J63" s="874"/>
      <c r="K63" s="874"/>
      <c r="L63" s="874"/>
      <c r="M63" s="874"/>
      <c r="N63" s="874"/>
      <c r="O63" s="874"/>
      <c r="P63" s="874"/>
      <c r="Q63" s="874"/>
      <c r="R63" s="874"/>
      <c r="S63" s="875"/>
      <c r="T63" s="837"/>
      <c r="U63" s="837"/>
      <c r="V63" s="838"/>
    </row>
    <row r="64" spans="1:22" x14ac:dyDescent="0.2">
      <c r="A64" s="829"/>
      <c r="B64" s="830"/>
      <c r="C64" s="830"/>
      <c r="D64" s="830"/>
      <c r="E64" s="830"/>
      <c r="F64" s="873"/>
      <c r="G64" s="874"/>
      <c r="H64" s="874"/>
      <c r="I64" s="874"/>
      <c r="J64" s="874"/>
      <c r="K64" s="874"/>
      <c r="L64" s="874"/>
      <c r="M64" s="874"/>
      <c r="N64" s="874"/>
      <c r="O64" s="874"/>
      <c r="P64" s="874"/>
      <c r="Q64" s="874"/>
      <c r="R64" s="874"/>
      <c r="S64" s="875"/>
      <c r="T64" s="837"/>
      <c r="U64" s="837"/>
      <c r="V64" s="838"/>
    </row>
    <row r="65" spans="1:22" ht="15.75" x14ac:dyDescent="0.2">
      <c r="A65" s="831"/>
      <c r="B65" s="816"/>
      <c r="C65" s="816"/>
      <c r="D65" s="816"/>
      <c r="E65" s="816"/>
      <c r="F65" s="896">
        <v>1</v>
      </c>
      <c r="G65" s="897"/>
      <c r="H65" s="458" t="s">
        <v>424</v>
      </c>
      <c r="I65" s="897">
        <v>12</v>
      </c>
      <c r="J65" s="897"/>
      <c r="K65" s="867"/>
      <c r="L65" s="867"/>
      <c r="M65" s="422"/>
      <c r="N65" s="422"/>
      <c r="O65" s="915"/>
      <c r="P65" s="915"/>
      <c r="Q65" s="422"/>
      <c r="R65" s="467"/>
      <c r="S65" s="468"/>
      <c r="T65" s="839"/>
      <c r="U65" s="839"/>
      <c r="V65" s="840"/>
    </row>
    <row r="66" spans="1:22" x14ac:dyDescent="0.2">
      <c r="A66" s="828" t="s">
        <v>450</v>
      </c>
      <c r="B66" s="917"/>
      <c r="C66" s="917"/>
      <c r="D66" s="917"/>
      <c r="E66" s="918"/>
      <c r="F66" s="924" t="s">
        <v>451</v>
      </c>
      <c r="G66" s="925"/>
      <c r="H66" s="925"/>
      <c r="I66" s="925"/>
      <c r="J66" s="925"/>
      <c r="K66" s="925"/>
      <c r="L66" s="925"/>
      <c r="M66" s="925"/>
      <c r="N66" s="925"/>
      <c r="O66" s="925"/>
      <c r="P66" s="925"/>
      <c r="Q66" s="925"/>
      <c r="R66" s="925"/>
      <c r="S66" s="926"/>
      <c r="T66" s="808">
        <f>(G71/I71/K71)</f>
        <v>1.15E-2</v>
      </c>
      <c r="U66" s="930"/>
      <c r="V66" s="931"/>
    </row>
    <row r="67" spans="1:22" x14ac:dyDescent="0.2">
      <c r="A67" s="829"/>
      <c r="B67" s="919"/>
      <c r="C67" s="919"/>
      <c r="D67" s="919"/>
      <c r="E67" s="920"/>
      <c r="F67" s="927"/>
      <c r="G67" s="928"/>
      <c r="H67" s="928"/>
      <c r="I67" s="928"/>
      <c r="J67" s="928"/>
      <c r="K67" s="928"/>
      <c r="L67" s="928"/>
      <c r="M67" s="928"/>
      <c r="N67" s="928"/>
      <c r="O67" s="928"/>
      <c r="P67" s="928"/>
      <c r="Q67" s="928"/>
      <c r="R67" s="928"/>
      <c r="S67" s="929"/>
      <c r="T67" s="894"/>
      <c r="U67" s="932"/>
      <c r="V67" s="933"/>
    </row>
    <row r="68" spans="1:22" x14ac:dyDescent="0.2">
      <c r="A68" s="829"/>
      <c r="B68" s="919"/>
      <c r="C68" s="919"/>
      <c r="D68" s="919"/>
      <c r="E68" s="920"/>
      <c r="F68" s="927"/>
      <c r="G68" s="928"/>
      <c r="H68" s="928"/>
      <c r="I68" s="928"/>
      <c r="J68" s="928"/>
      <c r="K68" s="928"/>
      <c r="L68" s="928"/>
      <c r="M68" s="928"/>
      <c r="N68" s="928"/>
      <c r="O68" s="928"/>
      <c r="P68" s="928"/>
      <c r="Q68" s="928"/>
      <c r="R68" s="928"/>
      <c r="S68" s="929"/>
      <c r="T68" s="894"/>
      <c r="U68" s="932"/>
      <c r="V68" s="933"/>
    </row>
    <row r="69" spans="1:22" x14ac:dyDescent="0.2">
      <c r="A69" s="829"/>
      <c r="B69" s="919"/>
      <c r="C69" s="919"/>
      <c r="D69" s="919"/>
      <c r="E69" s="920"/>
      <c r="F69" s="927"/>
      <c r="G69" s="928"/>
      <c r="H69" s="928"/>
      <c r="I69" s="928"/>
      <c r="J69" s="928"/>
      <c r="K69" s="928"/>
      <c r="L69" s="928"/>
      <c r="M69" s="928"/>
      <c r="N69" s="928"/>
      <c r="O69" s="928"/>
      <c r="P69" s="928"/>
      <c r="Q69" s="928"/>
      <c r="R69" s="928"/>
      <c r="S69" s="929"/>
      <c r="T69" s="894"/>
      <c r="U69" s="932"/>
      <c r="V69" s="933"/>
    </row>
    <row r="70" spans="1:22" x14ac:dyDescent="0.2">
      <c r="A70" s="829"/>
      <c r="B70" s="919"/>
      <c r="C70" s="919"/>
      <c r="D70" s="919"/>
      <c r="E70" s="920"/>
      <c r="F70" s="927"/>
      <c r="G70" s="928"/>
      <c r="H70" s="928"/>
      <c r="I70" s="928"/>
      <c r="J70" s="928"/>
      <c r="K70" s="928"/>
      <c r="L70" s="928"/>
      <c r="M70" s="928"/>
      <c r="N70" s="928"/>
      <c r="O70" s="928"/>
      <c r="P70" s="928"/>
      <c r="Q70" s="928"/>
      <c r="R70" s="928"/>
      <c r="S70" s="929"/>
      <c r="T70" s="894"/>
      <c r="U70" s="932"/>
      <c r="V70" s="933"/>
    </row>
    <row r="71" spans="1:22" ht="15.75" x14ac:dyDescent="0.2">
      <c r="A71" s="921"/>
      <c r="B71" s="922"/>
      <c r="C71" s="922"/>
      <c r="D71" s="922"/>
      <c r="E71" s="923"/>
      <c r="F71" s="426" t="s">
        <v>436</v>
      </c>
      <c r="G71" s="469">
        <v>4.1399999999999997</v>
      </c>
      <c r="H71" s="445" t="s">
        <v>424</v>
      </c>
      <c r="I71" s="445">
        <v>12</v>
      </c>
      <c r="J71" s="445" t="s">
        <v>424</v>
      </c>
      <c r="K71" s="445">
        <v>30</v>
      </c>
      <c r="L71" s="455" t="s">
        <v>437</v>
      </c>
      <c r="M71" s="418"/>
      <c r="N71" s="418"/>
      <c r="O71" s="418"/>
      <c r="P71" s="418"/>
      <c r="Q71" s="418"/>
      <c r="R71" s="419"/>
      <c r="S71" s="420"/>
      <c r="T71" s="934"/>
      <c r="U71" s="935"/>
      <c r="V71" s="936"/>
    </row>
    <row r="72" spans="1:22" x14ac:dyDescent="0.2">
      <c r="A72" s="829" t="s">
        <v>452</v>
      </c>
      <c r="B72" s="830"/>
      <c r="C72" s="830"/>
      <c r="D72" s="830"/>
      <c r="E72" s="830"/>
      <c r="F72" s="832" t="s">
        <v>453</v>
      </c>
      <c r="G72" s="833"/>
      <c r="H72" s="833"/>
      <c r="I72" s="833"/>
      <c r="J72" s="833"/>
      <c r="K72" s="833"/>
      <c r="L72" s="833"/>
      <c r="M72" s="833"/>
      <c r="N72" s="833"/>
      <c r="O72" s="833"/>
      <c r="P72" s="833"/>
      <c r="Q72" s="833"/>
      <c r="R72" s="833"/>
      <c r="S72" s="834"/>
      <c r="T72" s="835">
        <f>(G78/I78/K78*O78)</f>
        <v>2.0833333333333335E-4</v>
      </c>
      <c r="U72" s="835"/>
      <c r="V72" s="836"/>
    </row>
    <row r="73" spans="1:22" x14ac:dyDescent="0.2">
      <c r="A73" s="829"/>
      <c r="B73" s="830"/>
      <c r="C73" s="830"/>
      <c r="D73" s="830"/>
      <c r="E73" s="830"/>
      <c r="F73" s="873"/>
      <c r="G73" s="874"/>
      <c r="H73" s="874"/>
      <c r="I73" s="874"/>
      <c r="J73" s="874"/>
      <c r="K73" s="874"/>
      <c r="L73" s="874"/>
      <c r="M73" s="874"/>
      <c r="N73" s="874"/>
      <c r="O73" s="874"/>
      <c r="P73" s="874"/>
      <c r="Q73" s="874"/>
      <c r="R73" s="874"/>
      <c r="S73" s="875"/>
      <c r="T73" s="837"/>
      <c r="U73" s="837"/>
      <c r="V73" s="838"/>
    </row>
    <row r="74" spans="1:22" x14ac:dyDescent="0.2">
      <c r="A74" s="829"/>
      <c r="B74" s="830"/>
      <c r="C74" s="830"/>
      <c r="D74" s="830"/>
      <c r="E74" s="830"/>
      <c r="F74" s="873"/>
      <c r="G74" s="874"/>
      <c r="H74" s="874"/>
      <c r="I74" s="874"/>
      <c r="J74" s="874"/>
      <c r="K74" s="874"/>
      <c r="L74" s="874"/>
      <c r="M74" s="874"/>
      <c r="N74" s="874"/>
      <c r="O74" s="874"/>
      <c r="P74" s="874"/>
      <c r="Q74" s="874"/>
      <c r="R74" s="874"/>
      <c r="S74" s="875"/>
      <c r="T74" s="837"/>
      <c r="U74" s="837"/>
      <c r="V74" s="838"/>
    </row>
    <row r="75" spans="1:22" x14ac:dyDescent="0.2">
      <c r="A75" s="829"/>
      <c r="B75" s="830"/>
      <c r="C75" s="830"/>
      <c r="D75" s="830"/>
      <c r="E75" s="830"/>
      <c r="F75" s="873"/>
      <c r="G75" s="874"/>
      <c r="H75" s="874"/>
      <c r="I75" s="874"/>
      <c r="J75" s="874"/>
      <c r="K75" s="874"/>
      <c r="L75" s="874"/>
      <c r="M75" s="874"/>
      <c r="N75" s="874"/>
      <c r="O75" s="874"/>
      <c r="P75" s="874"/>
      <c r="Q75" s="874"/>
      <c r="R75" s="874"/>
      <c r="S75" s="875"/>
      <c r="T75" s="837"/>
      <c r="U75" s="837"/>
      <c r="V75" s="838"/>
    </row>
    <row r="76" spans="1:22" x14ac:dyDescent="0.2">
      <c r="A76" s="829"/>
      <c r="B76" s="830"/>
      <c r="C76" s="830"/>
      <c r="D76" s="830"/>
      <c r="E76" s="830"/>
      <c r="F76" s="873"/>
      <c r="G76" s="874"/>
      <c r="H76" s="874"/>
      <c r="I76" s="874"/>
      <c r="J76" s="874"/>
      <c r="K76" s="874"/>
      <c r="L76" s="874"/>
      <c r="M76" s="874"/>
      <c r="N76" s="874"/>
      <c r="O76" s="874"/>
      <c r="P76" s="874"/>
      <c r="Q76" s="874"/>
      <c r="R76" s="874"/>
      <c r="S76" s="875"/>
      <c r="T76" s="837"/>
      <c r="U76" s="837"/>
      <c r="V76" s="838"/>
    </row>
    <row r="77" spans="1:22" x14ac:dyDescent="0.2">
      <c r="A77" s="829"/>
      <c r="B77" s="830"/>
      <c r="C77" s="830"/>
      <c r="D77" s="830"/>
      <c r="E77" s="830"/>
      <c r="F77" s="873"/>
      <c r="G77" s="874"/>
      <c r="H77" s="874"/>
      <c r="I77" s="874"/>
      <c r="J77" s="874"/>
      <c r="K77" s="874"/>
      <c r="L77" s="874"/>
      <c r="M77" s="874"/>
      <c r="N77" s="874"/>
      <c r="O77" s="874"/>
      <c r="P77" s="874"/>
      <c r="Q77" s="874"/>
      <c r="R77" s="874"/>
      <c r="S77" s="875"/>
      <c r="T77" s="837"/>
      <c r="U77" s="837"/>
      <c r="V77" s="838"/>
    </row>
    <row r="78" spans="1:22" ht="15.75" x14ac:dyDescent="0.2">
      <c r="A78" s="831"/>
      <c r="B78" s="816"/>
      <c r="C78" s="816"/>
      <c r="D78" s="816"/>
      <c r="E78" s="816"/>
      <c r="F78" s="426" t="s">
        <v>436</v>
      </c>
      <c r="G78" s="454">
        <v>5</v>
      </c>
      <c r="H78" s="445" t="s">
        <v>424</v>
      </c>
      <c r="I78" s="445">
        <v>12</v>
      </c>
      <c r="J78" s="445" t="s">
        <v>424</v>
      </c>
      <c r="K78" s="445">
        <v>30</v>
      </c>
      <c r="L78" s="455" t="s">
        <v>437</v>
      </c>
      <c r="M78" s="418" t="s">
        <v>426</v>
      </c>
      <c r="N78" s="455" t="s">
        <v>436</v>
      </c>
      <c r="O78" s="916">
        <v>1.4999999999999999E-2</v>
      </c>
      <c r="P78" s="916"/>
      <c r="Q78" s="455" t="s">
        <v>437</v>
      </c>
      <c r="R78" s="419"/>
      <c r="S78" s="420"/>
      <c r="T78" s="839"/>
      <c r="U78" s="839"/>
      <c r="V78" s="840"/>
    </row>
    <row r="79" spans="1:22" x14ac:dyDescent="0.2">
      <c r="A79" s="829" t="s">
        <v>454</v>
      </c>
      <c r="B79" s="830"/>
      <c r="C79" s="830"/>
      <c r="D79" s="830"/>
      <c r="E79" s="830"/>
      <c r="F79" s="832" t="s">
        <v>455</v>
      </c>
      <c r="G79" s="833"/>
      <c r="H79" s="833"/>
      <c r="I79" s="833"/>
      <c r="J79" s="833"/>
      <c r="K79" s="833"/>
      <c r="L79" s="833"/>
      <c r="M79" s="833"/>
      <c r="N79" s="833"/>
      <c r="O79" s="833"/>
      <c r="P79" s="833"/>
      <c r="Q79" s="833"/>
      <c r="R79" s="833"/>
      <c r="S79" s="834"/>
      <c r="T79" s="835">
        <f>G83/I83/K83</f>
        <v>2.7777777777777775E-3</v>
      </c>
      <c r="U79" s="835"/>
      <c r="V79" s="836"/>
    </row>
    <row r="80" spans="1:22" x14ac:dyDescent="0.2">
      <c r="A80" s="829"/>
      <c r="B80" s="830"/>
      <c r="C80" s="830"/>
      <c r="D80" s="830"/>
      <c r="E80" s="830"/>
      <c r="F80" s="873"/>
      <c r="G80" s="874"/>
      <c r="H80" s="874"/>
      <c r="I80" s="874"/>
      <c r="J80" s="874"/>
      <c r="K80" s="874"/>
      <c r="L80" s="874"/>
      <c r="M80" s="874"/>
      <c r="N80" s="874"/>
      <c r="O80" s="874"/>
      <c r="P80" s="874"/>
      <c r="Q80" s="874"/>
      <c r="R80" s="874"/>
      <c r="S80" s="875"/>
      <c r="T80" s="837"/>
      <c r="U80" s="837"/>
      <c r="V80" s="838"/>
    </row>
    <row r="81" spans="1:22" x14ac:dyDescent="0.2">
      <c r="A81" s="829"/>
      <c r="B81" s="830"/>
      <c r="C81" s="830"/>
      <c r="D81" s="830"/>
      <c r="E81" s="830"/>
      <c r="F81" s="873"/>
      <c r="G81" s="874"/>
      <c r="H81" s="874"/>
      <c r="I81" s="874"/>
      <c r="J81" s="874"/>
      <c r="K81" s="874"/>
      <c r="L81" s="874"/>
      <c r="M81" s="874"/>
      <c r="N81" s="874"/>
      <c r="O81" s="874"/>
      <c r="P81" s="874"/>
      <c r="Q81" s="874"/>
      <c r="R81" s="874"/>
      <c r="S81" s="875"/>
      <c r="T81" s="837"/>
      <c r="U81" s="837"/>
      <c r="V81" s="838"/>
    </row>
    <row r="82" spans="1:22" x14ac:dyDescent="0.2">
      <c r="A82" s="829"/>
      <c r="B82" s="830"/>
      <c r="C82" s="830"/>
      <c r="D82" s="830"/>
      <c r="E82" s="830"/>
      <c r="F82" s="873"/>
      <c r="G82" s="874"/>
      <c r="H82" s="874"/>
      <c r="I82" s="874"/>
      <c r="J82" s="874"/>
      <c r="K82" s="874"/>
      <c r="L82" s="874"/>
      <c r="M82" s="874"/>
      <c r="N82" s="874"/>
      <c r="O82" s="874"/>
      <c r="P82" s="874"/>
      <c r="Q82" s="874"/>
      <c r="R82" s="874"/>
      <c r="S82" s="875"/>
      <c r="T82" s="837"/>
      <c r="U82" s="837"/>
      <c r="V82" s="838"/>
    </row>
    <row r="83" spans="1:22" ht="15.75" x14ac:dyDescent="0.2">
      <c r="A83" s="831"/>
      <c r="B83" s="816"/>
      <c r="C83" s="816"/>
      <c r="D83" s="816"/>
      <c r="E83" s="816"/>
      <c r="F83" s="426" t="s">
        <v>436</v>
      </c>
      <c r="G83" s="454">
        <v>1</v>
      </c>
      <c r="H83" s="445" t="s">
        <v>424</v>
      </c>
      <c r="I83" s="445">
        <v>12</v>
      </c>
      <c r="J83" s="445" t="s">
        <v>424</v>
      </c>
      <c r="K83" s="445">
        <v>30</v>
      </c>
      <c r="L83" s="455" t="s">
        <v>437</v>
      </c>
      <c r="M83" s="418"/>
      <c r="N83" s="418"/>
      <c r="O83" s="418"/>
      <c r="P83" s="418"/>
      <c r="Q83" s="418"/>
      <c r="R83" s="419"/>
      <c r="S83" s="420"/>
      <c r="T83" s="839"/>
      <c r="U83" s="839"/>
      <c r="V83" s="840"/>
    </row>
    <row r="84" spans="1:22" x14ac:dyDescent="0.2">
      <c r="A84" s="832" t="s">
        <v>456</v>
      </c>
      <c r="B84" s="878"/>
      <c r="C84" s="878"/>
      <c r="D84" s="878"/>
      <c r="E84" s="879"/>
      <c r="F84" s="832" t="s">
        <v>457</v>
      </c>
      <c r="G84" s="833"/>
      <c r="H84" s="833"/>
      <c r="I84" s="833"/>
      <c r="J84" s="833"/>
      <c r="K84" s="833"/>
      <c r="L84" s="833"/>
      <c r="M84" s="833"/>
      <c r="N84" s="833"/>
      <c r="O84" s="833"/>
      <c r="P84" s="833"/>
      <c r="Q84" s="833"/>
      <c r="R84" s="833"/>
      <c r="S84" s="834"/>
      <c r="T84" s="835">
        <f>(G88/I88/K88*O88)</f>
        <v>3.3333333333333331E-3</v>
      </c>
      <c r="U84" s="835"/>
      <c r="V84" s="836"/>
    </row>
    <row r="85" spans="1:22" x14ac:dyDescent="0.2">
      <c r="A85" s="873"/>
      <c r="B85" s="899"/>
      <c r="C85" s="899"/>
      <c r="D85" s="899"/>
      <c r="E85" s="900"/>
      <c r="F85" s="873"/>
      <c r="G85" s="874"/>
      <c r="H85" s="874"/>
      <c r="I85" s="874"/>
      <c r="J85" s="874"/>
      <c r="K85" s="874"/>
      <c r="L85" s="874"/>
      <c r="M85" s="874"/>
      <c r="N85" s="874"/>
      <c r="O85" s="874"/>
      <c r="P85" s="874"/>
      <c r="Q85" s="874"/>
      <c r="R85" s="874"/>
      <c r="S85" s="875"/>
      <c r="T85" s="837"/>
      <c r="U85" s="837"/>
      <c r="V85" s="838"/>
    </row>
    <row r="86" spans="1:22" x14ac:dyDescent="0.2">
      <c r="A86" s="873"/>
      <c r="B86" s="899"/>
      <c r="C86" s="899"/>
      <c r="D86" s="899"/>
      <c r="E86" s="900"/>
      <c r="F86" s="873"/>
      <c r="G86" s="874"/>
      <c r="H86" s="874"/>
      <c r="I86" s="874"/>
      <c r="J86" s="874"/>
      <c r="K86" s="874"/>
      <c r="L86" s="874"/>
      <c r="M86" s="874"/>
      <c r="N86" s="874"/>
      <c r="O86" s="874"/>
      <c r="P86" s="874"/>
      <c r="Q86" s="874"/>
      <c r="R86" s="874"/>
      <c r="S86" s="875"/>
      <c r="T86" s="837"/>
      <c r="U86" s="837"/>
      <c r="V86" s="838"/>
    </row>
    <row r="87" spans="1:22" x14ac:dyDescent="0.2">
      <c r="A87" s="873"/>
      <c r="B87" s="899"/>
      <c r="C87" s="899"/>
      <c r="D87" s="899"/>
      <c r="E87" s="900"/>
      <c r="F87" s="873"/>
      <c r="G87" s="874"/>
      <c r="H87" s="874"/>
      <c r="I87" s="874"/>
      <c r="J87" s="874"/>
      <c r="K87" s="874"/>
      <c r="L87" s="874"/>
      <c r="M87" s="874"/>
      <c r="N87" s="874"/>
      <c r="O87" s="874"/>
      <c r="P87" s="874"/>
      <c r="Q87" s="874"/>
      <c r="R87" s="874"/>
      <c r="S87" s="875"/>
      <c r="T87" s="837"/>
      <c r="U87" s="837"/>
      <c r="V87" s="838"/>
    </row>
    <row r="88" spans="1:22" ht="15.75" x14ac:dyDescent="0.2">
      <c r="A88" s="880"/>
      <c r="B88" s="881"/>
      <c r="C88" s="881"/>
      <c r="D88" s="881"/>
      <c r="E88" s="882"/>
      <c r="F88" s="426" t="s">
        <v>436</v>
      </c>
      <c r="G88" s="454">
        <v>15</v>
      </c>
      <c r="H88" s="445" t="s">
        <v>424</v>
      </c>
      <c r="I88" s="445">
        <v>12</v>
      </c>
      <c r="J88" s="445" t="s">
        <v>424</v>
      </c>
      <c r="K88" s="445">
        <v>30</v>
      </c>
      <c r="L88" s="455" t="s">
        <v>437</v>
      </c>
      <c r="M88" s="418" t="s">
        <v>426</v>
      </c>
      <c r="N88" s="455" t="s">
        <v>436</v>
      </c>
      <c r="O88" s="916">
        <v>0.08</v>
      </c>
      <c r="P88" s="916"/>
      <c r="Q88" s="455" t="s">
        <v>437</v>
      </c>
      <c r="R88" s="419"/>
      <c r="S88" s="420"/>
      <c r="T88" s="839"/>
      <c r="U88" s="839"/>
      <c r="V88" s="840"/>
    </row>
    <row r="89" spans="1:22" x14ac:dyDescent="0.2">
      <c r="A89" s="832" t="s">
        <v>458</v>
      </c>
      <c r="B89" s="878"/>
      <c r="C89" s="878"/>
      <c r="D89" s="878"/>
      <c r="E89" s="879"/>
      <c r="F89" s="832" t="s">
        <v>459</v>
      </c>
      <c r="G89" s="833"/>
      <c r="H89" s="833"/>
      <c r="I89" s="833"/>
      <c r="J89" s="833"/>
      <c r="K89" s="833"/>
      <c r="L89" s="833"/>
      <c r="M89" s="833"/>
      <c r="N89" s="833"/>
      <c r="O89" s="833"/>
      <c r="P89" s="833"/>
      <c r="Q89" s="833"/>
      <c r="R89" s="833"/>
      <c r="S89" s="834"/>
      <c r="T89" s="835">
        <f>(G95/I95/K95*O95)</f>
        <v>9.722222222222223E-4</v>
      </c>
      <c r="U89" s="835"/>
      <c r="V89" s="836"/>
    </row>
    <row r="90" spans="1:22" x14ac:dyDescent="0.2">
      <c r="A90" s="873"/>
      <c r="B90" s="899"/>
      <c r="C90" s="899"/>
      <c r="D90" s="899"/>
      <c r="E90" s="900"/>
      <c r="F90" s="873"/>
      <c r="G90" s="874"/>
      <c r="H90" s="874"/>
      <c r="I90" s="874"/>
      <c r="J90" s="874"/>
      <c r="K90" s="874"/>
      <c r="L90" s="874"/>
      <c r="M90" s="874"/>
      <c r="N90" s="874"/>
      <c r="O90" s="874"/>
      <c r="P90" s="874"/>
      <c r="Q90" s="874"/>
      <c r="R90" s="874"/>
      <c r="S90" s="875"/>
      <c r="T90" s="837"/>
      <c r="U90" s="837"/>
      <c r="V90" s="838"/>
    </row>
    <row r="91" spans="1:22" x14ac:dyDescent="0.2">
      <c r="A91" s="873"/>
      <c r="B91" s="899"/>
      <c r="C91" s="899"/>
      <c r="D91" s="899"/>
      <c r="E91" s="900"/>
      <c r="F91" s="873"/>
      <c r="G91" s="874"/>
      <c r="H91" s="874"/>
      <c r="I91" s="874"/>
      <c r="J91" s="874"/>
      <c r="K91" s="874"/>
      <c r="L91" s="874"/>
      <c r="M91" s="874"/>
      <c r="N91" s="874"/>
      <c r="O91" s="874"/>
      <c r="P91" s="874"/>
      <c r="Q91" s="874"/>
      <c r="R91" s="874"/>
      <c r="S91" s="875"/>
      <c r="T91" s="837"/>
      <c r="U91" s="837"/>
      <c r="V91" s="838"/>
    </row>
    <row r="92" spans="1:22" x14ac:dyDescent="0.2">
      <c r="A92" s="873"/>
      <c r="B92" s="899"/>
      <c r="C92" s="899"/>
      <c r="D92" s="899"/>
      <c r="E92" s="900"/>
      <c r="F92" s="873"/>
      <c r="G92" s="874"/>
      <c r="H92" s="874"/>
      <c r="I92" s="874"/>
      <c r="J92" s="874"/>
      <c r="K92" s="874"/>
      <c r="L92" s="874"/>
      <c r="M92" s="874"/>
      <c r="N92" s="874"/>
      <c r="O92" s="874"/>
      <c r="P92" s="874"/>
      <c r="Q92" s="874"/>
      <c r="R92" s="874"/>
      <c r="S92" s="875"/>
      <c r="T92" s="837"/>
      <c r="U92" s="837"/>
      <c r="V92" s="838"/>
    </row>
    <row r="93" spans="1:22" x14ac:dyDescent="0.2">
      <c r="A93" s="873"/>
      <c r="B93" s="899"/>
      <c r="C93" s="899"/>
      <c r="D93" s="899"/>
      <c r="E93" s="900"/>
      <c r="F93" s="873"/>
      <c r="G93" s="874"/>
      <c r="H93" s="874"/>
      <c r="I93" s="874"/>
      <c r="J93" s="874"/>
      <c r="K93" s="874"/>
      <c r="L93" s="874"/>
      <c r="M93" s="874"/>
      <c r="N93" s="874"/>
      <c r="O93" s="874"/>
      <c r="P93" s="874"/>
      <c r="Q93" s="874"/>
      <c r="R93" s="874"/>
      <c r="S93" s="875"/>
      <c r="T93" s="837"/>
      <c r="U93" s="837"/>
      <c r="V93" s="838"/>
    </row>
    <row r="94" spans="1:22" x14ac:dyDescent="0.2">
      <c r="A94" s="873"/>
      <c r="B94" s="899"/>
      <c r="C94" s="899"/>
      <c r="D94" s="899"/>
      <c r="E94" s="900"/>
      <c r="F94" s="873"/>
      <c r="G94" s="874"/>
      <c r="H94" s="874"/>
      <c r="I94" s="874"/>
      <c r="J94" s="874"/>
      <c r="K94" s="874"/>
      <c r="L94" s="874"/>
      <c r="M94" s="874"/>
      <c r="N94" s="874"/>
      <c r="O94" s="874"/>
      <c r="P94" s="874"/>
      <c r="Q94" s="874"/>
      <c r="R94" s="874"/>
      <c r="S94" s="875"/>
      <c r="T94" s="837"/>
      <c r="U94" s="837"/>
      <c r="V94" s="838"/>
    </row>
    <row r="95" spans="1:22" ht="15.75" x14ac:dyDescent="0.2">
      <c r="A95" s="880"/>
      <c r="B95" s="881"/>
      <c r="C95" s="881"/>
      <c r="D95" s="881"/>
      <c r="E95" s="882"/>
      <c r="F95" s="426" t="s">
        <v>436</v>
      </c>
      <c r="G95" s="454">
        <v>7</v>
      </c>
      <c r="H95" s="445" t="s">
        <v>424</v>
      </c>
      <c r="I95" s="445">
        <v>12</v>
      </c>
      <c r="J95" s="445" t="s">
        <v>424</v>
      </c>
      <c r="K95" s="445">
        <v>30</v>
      </c>
      <c r="L95" s="455" t="s">
        <v>437</v>
      </c>
      <c r="M95" s="455" t="s">
        <v>426</v>
      </c>
      <c r="N95" s="455" t="s">
        <v>436</v>
      </c>
      <c r="O95" s="916">
        <v>0.05</v>
      </c>
      <c r="P95" s="916"/>
      <c r="Q95" s="455" t="s">
        <v>437</v>
      </c>
      <c r="R95" s="419"/>
      <c r="S95" s="420"/>
      <c r="T95" s="839"/>
      <c r="U95" s="839"/>
      <c r="V95" s="840"/>
    </row>
    <row r="96" spans="1:22" ht="15.75" x14ac:dyDescent="0.2">
      <c r="A96" s="818" t="s">
        <v>91</v>
      </c>
      <c r="B96" s="803"/>
      <c r="C96" s="803"/>
      <c r="D96" s="803"/>
      <c r="E96" s="803"/>
      <c r="F96" s="803"/>
      <c r="G96" s="803"/>
      <c r="H96" s="803"/>
      <c r="I96" s="803"/>
      <c r="J96" s="803"/>
      <c r="K96" s="803"/>
      <c r="L96" s="803"/>
      <c r="M96" s="803"/>
      <c r="N96" s="803"/>
      <c r="O96" s="803"/>
      <c r="P96" s="803"/>
      <c r="Q96" s="803"/>
      <c r="R96" s="803"/>
      <c r="S96" s="803"/>
      <c r="T96" s="819">
        <f>SUM(T62:V95)</f>
        <v>0.10212499999999999</v>
      </c>
      <c r="U96" s="784"/>
      <c r="V96" s="784"/>
    </row>
    <row r="97" spans="1:22" ht="15.75" x14ac:dyDescent="0.2">
      <c r="A97" s="820" t="s">
        <v>460</v>
      </c>
      <c r="B97" s="797"/>
      <c r="C97" s="797"/>
      <c r="D97" s="797"/>
      <c r="E97" s="797"/>
      <c r="F97" s="797"/>
      <c r="G97" s="797"/>
      <c r="H97" s="797"/>
      <c r="I97" s="797"/>
      <c r="J97" s="797"/>
      <c r="K97" s="797"/>
      <c r="L97" s="797"/>
      <c r="M97" s="797"/>
      <c r="N97" s="797"/>
      <c r="O97" s="821">
        <f>T18</f>
        <v>0.3680000000000001</v>
      </c>
      <c r="P97" s="822"/>
      <c r="Q97" s="434" t="s">
        <v>426</v>
      </c>
      <c r="R97" s="823">
        <f>T96</f>
        <v>0.10212499999999999</v>
      </c>
      <c r="S97" s="824"/>
      <c r="T97" s="825">
        <f>(O97*R97)</f>
        <v>3.7582000000000011E-2</v>
      </c>
      <c r="U97" s="826"/>
      <c r="V97" s="827"/>
    </row>
    <row r="98" spans="1:22" ht="15.75" x14ac:dyDescent="0.2">
      <c r="A98" s="432" t="s">
        <v>461</v>
      </c>
      <c r="B98" s="421"/>
      <c r="C98" s="421"/>
      <c r="D98" s="421"/>
      <c r="E98" s="421"/>
      <c r="F98" s="421"/>
      <c r="G98" s="421"/>
      <c r="H98" s="421"/>
      <c r="I98" s="421"/>
      <c r="J98" s="421"/>
      <c r="K98" s="421"/>
      <c r="L98" s="421"/>
      <c r="M98" s="418"/>
      <c r="N98" s="421"/>
      <c r="O98" s="433"/>
      <c r="P98" s="434"/>
      <c r="Q98" s="434"/>
      <c r="R98" s="435"/>
      <c r="S98" s="470"/>
      <c r="T98" s="437"/>
      <c r="U98" s="438"/>
      <c r="V98" s="439"/>
    </row>
    <row r="99" spans="1:22" ht="15.75" x14ac:dyDescent="0.2">
      <c r="A99" s="432"/>
      <c r="B99" s="421"/>
      <c r="C99" s="421"/>
      <c r="D99" s="421"/>
      <c r="E99" s="421"/>
      <c r="F99" s="421" t="s">
        <v>436</v>
      </c>
      <c r="G99" s="452">
        <f>T29</f>
        <v>0.152</v>
      </c>
      <c r="H99" s="471" t="s">
        <v>439</v>
      </c>
      <c r="I99" s="452">
        <f>T36</f>
        <v>3.4666666666666674E-3</v>
      </c>
      <c r="J99" s="471" t="s">
        <v>439</v>
      </c>
      <c r="K99" s="452">
        <f>T59</f>
        <v>4.4545925925925926E-2</v>
      </c>
      <c r="L99" s="421" t="s">
        <v>437</v>
      </c>
      <c r="M99" s="455" t="s">
        <v>426</v>
      </c>
      <c r="N99" s="421" t="s">
        <v>436</v>
      </c>
      <c r="O99" s="821">
        <f>T96</f>
        <v>0.10212499999999999</v>
      </c>
      <c r="P99" s="821"/>
      <c r="Q99" s="434" t="s">
        <v>437</v>
      </c>
      <c r="R99" s="435"/>
      <c r="S99" s="436"/>
      <c r="T99" s="937">
        <f>(G99+I99+K99)*(O99)</f>
        <v>2.0426286018518518E-2</v>
      </c>
      <c r="U99" s="825"/>
      <c r="V99" s="938"/>
    </row>
    <row r="100" spans="1:22" ht="15.75" x14ac:dyDescent="0.2">
      <c r="A100" s="940" t="s">
        <v>462</v>
      </c>
      <c r="B100" s="941"/>
      <c r="C100" s="941"/>
      <c r="D100" s="941"/>
      <c r="E100" s="941"/>
      <c r="F100" s="941"/>
      <c r="G100" s="941"/>
      <c r="H100" s="941"/>
      <c r="I100" s="941"/>
      <c r="J100" s="941"/>
      <c r="K100" s="941"/>
      <c r="L100" s="941"/>
      <c r="M100" s="941"/>
      <c r="N100" s="941"/>
      <c r="O100" s="941"/>
      <c r="P100" s="941"/>
      <c r="Q100" s="941"/>
      <c r="R100" s="941"/>
      <c r="S100" s="941"/>
      <c r="T100" s="942">
        <f>SUM(T96:V99)</f>
        <v>0.16013328601851851</v>
      </c>
      <c r="U100" s="943"/>
      <c r="V100" s="943"/>
    </row>
    <row r="101" spans="1:22" ht="15.75" x14ac:dyDescent="0.2">
      <c r="A101" s="507"/>
      <c r="B101" s="472"/>
      <c r="C101" s="400"/>
      <c r="D101" s="473"/>
      <c r="E101" s="473"/>
      <c r="F101" s="400"/>
      <c r="G101" s="400"/>
      <c r="H101" s="473"/>
      <c r="I101" s="400"/>
      <c r="J101" s="400"/>
      <c r="K101" s="400"/>
      <c r="L101" s="400"/>
      <c r="M101" s="400"/>
      <c r="N101" s="400"/>
      <c r="O101" s="400"/>
      <c r="P101" s="400"/>
      <c r="Q101" s="400"/>
      <c r="R101" s="401"/>
      <c r="S101" s="401"/>
      <c r="T101" s="402"/>
      <c r="U101" s="403"/>
      <c r="V101" s="404"/>
    </row>
    <row r="102" spans="1:22" ht="15.75" x14ac:dyDescent="0.2">
      <c r="A102" s="789" t="s">
        <v>463</v>
      </c>
      <c r="B102" s="789"/>
      <c r="C102" s="789"/>
      <c r="D102" s="789"/>
      <c r="E102" s="789"/>
      <c r="F102" s="790"/>
      <c r="G102" s="790"/>
      <c r="H102" s="790"/>
      <c r="I102" s="790"/>
      <c r="J102" s="790"/>
      <c r="K102" s="790"/>
      <c r="L102" s="790"/>
      <c r="M102" s="790"/>
      <c r="N102" s="790"/>
      <c r="O102" s="790"/>
      <c r="P102" s="790"/>
      <c r="Q102" s="790"/>
      <c r="R102" s="790"/>
      <c r="S102" s="790"/>
      <c r="T102" s="790"/>
      <c r="U102" s="790"/>
      <c r="V102" s="790"/>
    </row>
    <row r="103" spans="1:22" ht="15.75" x14ac:dyDescent="0.2">
      <c r="A103" s="944" t="s">
        <v>464</v>
      </c>
      <c r="B103" s="944"/>
      <c r="C103" s="944"/>
      <c r="D103" s="782"/>
      <c r="E103" s="782"/>
      <c r="F103" s="782"/>
      <c r="G103" s="782"/>
      <c r="H103" s="782"/>
      <c r="I103" s="782"/>
      <c r="J103" s="782"/>
      <c r="K103" s="782"/>
      <c r="L103" s="782"/>
      <c r="M103" s="782"/>
      <c r="N103" s="782"/>
      <c r="O103" s="782"/>
      <c r="P103" s="782"/>
      <c r="Q103" s="782"/>
      <c r="R103" s="782"/>
      <c r="S103" s="782"/>
      <c r="T103" s="945" t="s">
        <v>153</v>
      </c>
      <c r="U103" s="784"/>
      <c r="V103" s="784"/>
    </row>
    <row r="104" spans="1:22" ht="15.75" x14ac:dyDescent="0.2">
      <c r="A104" s="939" t="s">
        <v>407</v>
      </c>
      <c r="B104" s="939"/>
      <c r="C104" s="939"/>
      <c r="D104" s="782"/>
      <c r="E104" s="782"/>
      <c r="F104" s="782"/>
      <c r="G104" s="782"/>
      <c r="H104" s="782"/>
      <c r="I104" s="782"/>
      <c r="J104" s="782"/>
      <c r="K104" s="782"/>
      <c r="L104" s="782"/>
      <c r="M104" s="782"/>
      <c r="N104" s="782"/>
      <c r="O104" s="782"/>
      <c r="P104" s="782"/>
      <c r="Q104" s="782"/>
      <c r="R104" s="782"/>
      <c r="S104" s="782"/>
      <c r="T104" s="783">
        <f>(T18)</f>
        <v>0.3680000000000001</v>
      </c>
      <c r="U104" s="784"/>
      <c r="V104" s="784"/>
    </row>
    <row r="105" spans="1:22" ht="15.75" x14ac:dyDescent="0.2">
      <c r="A105" s="939" t="s">
        <v>465</v>
      </c>
      <c r="B105" s="939"/>
      <c r="C105" s="939"/>
      <c r="D105" s="782"/>
      <c r="E105" s="782"/>
      <c r="F105" s="782"/>
      <c r="G105" s="782"/>
      <c r="H105" s="782"/>
      <c r="I105" s="782"/>
      <c r="J105" s="782"/>
      <c r="K105" s="782"/>
      <c r="L105" s="782"/>
      <c r="M105" s="782"/>
      <c r="N105" s="782"/>
      <c r="O105" s="782"/>
      <c r="P105" s="782"/>
      <c r="Q105" s="782"/>
      <c r="R105" s="782"/>
      <c r="S105" s="782"/>
      <c r="T105" s="783">
        <f>(T29)</f>
        <v>0.152</v>
      </c>
      <c r="U105" s="784"/>
      <c r="V105" s="784"/>
    </row>
    <row r="106" spans="1:22" ht="15.75" x14ac:dyDescent="0.2">
      <c r="A106" s="939" t="s">
        <v>428</v>
      </c>
      <c r="B106" s="939"/>
      <c r="C106" s="939"/>
      <c r="D106" s="782"/>
      <c r="E106" s="782"/>
      <c r="F106" s="782"/>
      <c r="G106" s="782"/>
      <c r="H106" s="782"/>
      <c r="I106" s="782"/>
      <c r="J106" s="782"/>
      <c r="K106" s="782"/>
      <c r="L106" s="782"/>
      <c r="M106" s="782"/>
      <c r="N106" s="782"/>
      <c r="O106" s="782"/>
      <c r="P106" s="782"/>
      <c r="Q106" s="782"/>
      <c r="R106" s="782"/>
      <c r="S106" s="782"/>
      <c r="T106" s="783">
        <f>(T36)</f>
        <v>3.4666666666666674E-3</v>
      </c>
      <c r="U106" s="784"/>
      <c r="V106" s="784"/>
    </row>
    <row r="107" spans="1:22" ht="15.75" x14ac:dyDescent="0.2">
      <c r="A107" s="939" t="s">
        <v>434</v>
      </c>
      <c r="B107" s="939"/>
      <c r="C107" s="939"/>
      <c r="D107" s="782"/>
      <c r="E107" s="782"/>
      <c r="F107" s="782"/>
      <c r="G107" s="782"/>
      <c r="H107" s="782"/>
      <c r="I107" s="782"/>
      <c r="J107" s="782"/>
      <c r="K107" s="782"/>
      <c r="L107" s="782"/>
      <c r="M107" s="782"/>
      <c r="N107" s="782"/>
      <c r="O107" s="782"/>
      <c r="P107" s="782"/>
      <c r="Q107" s="782"/>
      <c r="R107" s="782"/>
      <c r="S107" s="782"/>
      <c r="T107" s="783">
        <f>(T59)</f>
        <v>4.4545925925925926E-2</v>
      </c>
      <c r="U107" s="784"/>
      <c r="V107" s="784"/>
    </row>
    <row r="108" spans="1:22" ht="15.75" x14ac:dyDescent="0.2">
      <c r="A108" s="939" t="s">
        <v>447</v>
      </c>
      <c r="B108" s="939"/>
      <c r="C108" s="939"/>
      <c r="D108" s="782"/>
      <c r="E108" s="782"/>
      <c r="F108" s="782"/>
      <c r="G108" s="782"/>
      <c r="H108" s="782"/>
      <c r="I108" s="782"/>
      <c r="J108" s="782"/>
      <c r="K108" s="782"/>
      <c r="L108" s="782"/>
      <c r="M108" s="782"/>
      <c r="N108" s="782"/>
      <c r="O108" s="782"/>
      <c r="P108" s="782"/>
      <c r="Q108" s="782"/>
      <c r="R108" s="782"/>
      <c r="S108" s="782"/>
      <c r="T108" s="783">
        <f>T100</f>
        <v>0.16013328601851851</v>
      </c>
      <c r="U108" s="784"/>
      <c r="V108" s="784"/>
    </row>
    <row r="109" spans="1:22" ht="15.75" x14ac:dyDescent="0.2">
      <c r="A109" s="946" t="s">
        <v>466</v>
      </c>
      <c r="B109" s="946"/>
      <c r="C109" s="946"/>
      <c r="D109" s="790"/>
      <c r="E109" s="790"/>
      <c r="F109" s="790"/>
      <c r="G109" s="790"/>
      <c r="H109" s="790"/>
      <c r="I109" s="790"/>
      <c r="J109" s="790"/>
      <c r="K109" s="790"/>
      <c r="L109" s="790"/>
      <c r="M109" s="790"/>
      <c r="N109" s="790"/>
      <c r="O109" s="790"/>
      <c r="P109" s="790"/>
      <c r="Q109" s="790"/>
      <c r="R109" s="790"/>
      <c r="S109" s="790"/>
      <c r="T109" s="791">
        <f>SUM(T104:V108)</f>
        <v>0.72814587861111113</v>
      </c>
      <c r="U109" s="795"/>
      <c r="V109" s="795"/>
    </row>
    <row r="110" spans="1:22" ht="15.75" x14ac:dyDescent="0.2">
      <c r="A110" s="400"/>
      <c r="B110" s="472"/>
      <c r="C110" s="400"/>
      <c r="D110" s="473"/>
      <c r="E110" s="473"/>
      <c r="F110" s="400"/>
      <c r="G110" s="400"/>
      <c r="H110" s="473"/>
      <c r="I110" s="400"/>
      <c r="J110" s="400"/>
      <c r="K110" s="400"/>
      <c r="L110" s="400"/>
      <c r="M110" s="400"/>
      <c r="N110" s="400"/>
      <c r="O110" s="400"/>
      <c r="P110" s="400"/>
      <c r="Q110" s="400"/>
      <c r="R110" s="401"/>
      <c r="S110" s="401"/>
      <c r="T110" s="402"/>
      <c r="U110" s="403"/>
      <c r="V110" s="403"/>
    </row>
    <row r="111" spans="1:22" s="275" customFormat="1" x14ac:dyDescent="0.2">
      <c r="B111" s="564"/>
      <c r="C111" s="564"/>
      <c r="D111" s="564"/>
      <c r="E111" s="564"/>
      <c r="Q111" s="564"/>
      <c r="R111" s="564"/>
      <c r="S111" s="564"/>
      <c r="T111" s="528"/>
    </row>
    <row r="112" spans="1:22" s="275" customFormat="1" x14ac:dyDescent="0.2">
      <c r="B112" s="565"/>
      <c r="C112" s="565"/>
      <c r="D112" s="565"/>
      <c r="E112" s="565"/>
      <c r="Q112" s="565"/>
      <c r="R112" s="565"/>
      <c r="S112" s="565"/>
      <c r="T112" s="529"/>
    </row>
    <row r="113" spans="1:22" x14ac:dyDescent="0.2">
      <c r="A113" s="768"/>
      <c r="B113" s="768"/>
      <c r="C113" s="768"/>
      <c r="D113" s="768"/>
      <c r="E113" s="768"/>
      <c r="F113" s="768"/>
      <c r="G113" s="768"/>
      <c r="H113" s="768"/>
      <c r="I113" s="768"/>
      <c r="J113" s="768"/>
      <c r="K113" s="768"/>
      <c r="L113" s="768"/>
      <c r="M113" s="768"/>
      <c r="N113" s="768"/>
      <c r="O113" s="768"/>
      <c r="P113" s="768"/>
      <c r="Q113" s="768"/>
      <c r="R113" s="768"/>
      <c r="S113" s="768"/>
      <c r="T113" s="768"/>
      <c r="U113" s="768"/>
      <c r="V113" s="768"/>
    </row>
  </sheetData>
  <sheetProtection password="C7D3" sheet="1" objects="1" scenarios="1"/>
  <mergeCells count="149">
    <mergeCell ref="A113:V113"/>
    <mergeCell ref="A108:S108"/>
    <mergeCell ref="T108:V108"/>
    <mergeCell ref="A109:S109"/>
    <mergeCell ref="T109:V109"/>
    <mergeCell ref="B111:E111"/>
    <mergeCell ref="B112:E112"/>
    <mergeCell ref="Q111:S111"/>
    <mergeCell ref="Q112:S112"/>
    <mergeCell ref="A105:S105"/>
    <mergeCell ref="T105:V105"/>
    <mergeCell ref="A106:S106"/>
    <mergeCell ref="T106:V106"/>
    <mergeCell ref="A107:S107"/>
    <mergeCell ref="T107:V107"/>
    <mergeCell ref="A100:S100"/>
    <mergeCell ref="T100:V100"/>
    <mergeCell ref="A102:V102"/>
    <mergeCell ref="A103:S103"/>
    <mergeCell ref="T103:V103"/>
    <mergeCell ref="A104:S104"/>
    <mergeCell ref="T104:V104"/>
    <mergeCell ref="A97:N97"/>
    <mergeCell ref="O97:P97"/>
    <mergeCell ref="R97:S97"/>
    <mergeCell ref="T97:V97"/>
    <mergeCell ref="O99:P99"/>
    <mergeCell ref="T99:V99"/>
    <mergeCell ref="A89:E95"/>
    <mergeCell ref="F89:S94"/>
    <mergeCell ref="T89:V95"/>
    <mergeCell ref="O95:P95"/>
    <mergeCell ref="A96:S96"/>
    <mergeCell ref="T96:V96"/>
    <mergeCell ref="A79:E83"/>
    <mergeCell ref="F79:S82"/>
    <mergeCell ref="T79:V83"/>
    <mergeCell ref="A84:E88"/>
    <mergeCell ref="F84:S87"/>
    <mergeCell ref="T84:V88"/>
    <mergeCell ref="O88:P88"/>
    <mergeCell ref="A66:E71"/>
    <mergeCell ref="F66:S70"/>
    <mergeCell ref="T66:V71"/>
    <mergeCell ref="A72:E78"/>
    <mergeCell ref="F72:S77"/>
    <mergeCell ref="T72:V78"/>
    <mergeCell ref="O78:P78"/>
    <mergeCell ref="A59:S59"/>
    <mergeCell ref="T59:V59"/>
    <mergeCell ref="A61:V61"/>
    <mergeCell ref="A62:E65"/>
    <mergeCell ref="F62:S64"/>
    <mergeCell ref="T62:V65"/>
    <mergeCell ref="F65:G65"/>
    <mergeCell ref="I65:J65"/>
    <mergeCell ref="K65:L65"/>
    <mergeCell ref="O65:P65"/>
    <mergeCell ref="A56:E58"/>
    <mergeCell ref="F56:S57"/>
    <mergeCell ref="T56:V58"/>
    <mergeCell ref="F58:G58"/>
    <mergeCell ref="I58:J58"/>
    <mergeCell ref="L58:M58"/>
    <mergeCell ref="A49:E50"/>
    <mergeCell ref="T49:V50"/>
    <mergeCell ref="F50:G50"/>
    <mergeCell ref="I50:J50"/>
    <mergeCell ref="L50:M50"/>
    <mergeCell ref="A51:E55"/>
    <mergeCell ref="F51:S54"/>
    <mergeCell ref="T51:V55"/>
    <mergeCell ref="F55:G55"/>
    <mergeCell ref="I55:J55"/>
    <mergeCell ref="M46:N46"/>
    <mergeCell ref="A47:S47"/>
    <mergeCell ref="T47:V47"/>
    <mergeCell ref="O48:P48"/>
    <mergeCell ref="R48:S48"/>
    <mergeCell ref="T48:V48"/>
    <mergeCell ref="A39:E44"/>
    <mergeCell ref="F39:S43"/>
    <mergeCell ref="T39:V44"/>
    <mergeCell ref="K44:L44"/>
    <mergeCell ref="A45:E46"/>
    <mergeCell ref="F45:S45"/>
    <mergeCell ref="T45:V46"/>
    <mergeCell ref="F46:G46"/>
    <mergeCell ref="I46:J46"/>
    <mergeCell ref="K46:L46"/>
    <mergeCell ref="A34:N34"/>
    <mergeCell ref="T34:V34"/>
    <mergeCell ref="T35:V35"/>
    <mergeCell ref="A36:S36"/>
    <mergeCell ref="T36:V36"/>
    <mergeCell ref="A38:V38"/>
    <mergeCell ref="A29:S29"/>
    <mergeCell ref="T29:V29"/>
    <mergeCell ref="A31:V31"/>
    <mergeCell ref="A32:E33"/>
    <mergeCell ref="F32:S32"/>
    <mergeCell ref="T32:V33"/>
    <mergeCell ref="F33:G33"/>
    <mergeCell ref="I33:J33"/>
    <mergeCell ref="L33:M33"/>
    <mergeCell ref="O33:P33"/>
    <mergeCell ref="A27:S27"/>
    <mergeCell ref="T27:V27"/>
    <mergeCell ref="A28:N28"/>
    <mergeCell ref="O28:P28"/>
    <mergeCell ref="R28:S28"/>
    <mergeCell ref="T28:V28"/>
    <mergeCell ref="A21:E23"/>
    <mergeCell ref="F21:S21"/>
    <mergeCell ref="T21:V23"/>
    <mergeCell ref="F23:L23"/>
    <mergeCell ref="N23:S23"/>
    <mergeCell ref="A24:E26"/>
    <mergeCell ref="F24:S24"/>
    <mergeCell ref="T24:V26"/>
    <mergeCell ref="A17:S17"/>
    <mergeCell ref="T17:V17"/>
    <mergeCell ref="A18:S18"/>
    <mergeCell ref="T18:V18"/>
    <mergeCell ref="A19:V19"/>
    <mergeCell ref="A20:V20"/>
    <mergeCell ref="A14:S14"/>
    <mergeCell ref="T14:V14"/>
    <mergeCell ref="A15:S15"/>
    <mergeCell ref="T15:V16"/>
    <mergeCell ref="B16:C16"/>
    <mergeCell ref="D16:F16"/>
    <mergeCell ref="I16:K16"/>
    <mergeCell ref="L16:N16"/>
    <mergeCell ref="A11:S11"/>
    <mergeCell ref="T11:V11"/>
    <mergeCell ref="A12:S12"/>
    <mergeCell ref="T12:V12"/>
    <mergeCell ref="A13:S13"/>
    <mergeCell ref="T13:V13"/>
    <mergeCell ref="A10:S10"/>
    <mergeCell ref="T10:V10"/>
    <mergeCell ref="A5:V5"/>
    <mergeCell ref="T6:V6"/>
    <mergeCell ref="A7:V7"/>
    <mergeCell ref="A8:S8"/>
    <mergeCell ref="T8:V8"/>
    <mergeCell ref="A9:S9"/>
    <mergeCell ref="T9:V9"/>
  </mergeCells>
  <pageMargins left="0.511811024" right="0.511811024" top="0.78740157499999996" bottom="0.78740157499999996" header="0.31496062000000002" footer="0.31496062000000002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14</vt:i4>
      </vt:variant>
    </vt:vector>
  </HeadingPairs>
  <TitlesOfParts>
    <vt:vector size="23" baseType="lpstr">
      <vt:lpstr>RESUMO</vt:lpstr>
      <vt:lpstr>RESUMO-P1-UTMB ASA SUL</vt:lpstr>
      <vt:lpstr>RESUMO-P1-EQUIPE DE APOIO</vt:lpstr>
      <vt:lpstr>MDO-P1-OP USINA UTMB ASA SUL</vt:lpstr>
      <vt:lpstr>MDO-P1"-EQUIPE APO-UTMB ASA SUL</vt:lpstr>
      <vt:lpstr>Lote 01 - P1-UTMB ASA SUL </vt:lpstr>
      <vt:lpstr>CAMINHÕES-MAQUINAS-VEÍCULOS</vt:lpstr>
      <vt:lpstr>Enc.Sociais</vt:lpstr>
      <vt:lpstr>Descritivo - Encargos Sociais</vt:lpstr>
      <vt:lpstr>'CAMINHÕES-MAQUINAS-VEÍCULOS'!Area_de_impressao</vt:lpstr>
      <vt:lpstr>'Descritivo - Encargos Sociais'!Area_de_impressao</vt:lpstr>
      <vt:lpstr>Enc.Sociais!Area_de_impressao</vt:lpstr>
      <vt:lpstr>'Lote 01 - P1-UTMB ASA SUL '!Area_de_impressao</vt:lpstr>
      <vt:lpstr>'MDO-P1"-EQUIPE APO-UTMB ASA SUL'!Area_de_impressao</vt:lpstr>
      <vt:lpstr>'MDO-P1-OP USINA UTMB ASA SUL'!Area_de_impressao</vt:lpstr>
      <vt:lpstr>RESUMO!Area_de_impressao</vt:lpstr>
      <vt:lpstr>'RESUMO-P1-EQUIPE DE APOIO'!Area_de_impressao</vt:lpstr>
      <vt:lpstr>'RESUMO-P1-UTMB ASA SUL'!Area_de_impressao</vt:lpstr>
      <vt:lpstr>'Lote 01 - P1-UTMB ASA SUL '!Titulos_de_impressao</vt:lpstr>
      <vt:lpstr>'MDO-P1"-EQUIPE APO-UTMB ASA SUL'!Titulos_de_impressao</vt:lpstr>
      <vt:lpstr>'MDO-P1-OP USINA UTMB ASA SUL'!Titulos_de_impressao</vt:lpstr>
      <vt:lpstr>'RESUMO-P1-EQUIPE DE APOIO'!Titulos_de_impressao</vt:lpstr>
      <vt:lpstr>'RESUMO-P1-UTMB ASA SUL'!Titulos_de_impressao</vt:lpstr>
    </vt:vector>
  </TitlesOfParts>
  <Company>Qualix Serviços Ambientais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acitvaras</dc:creator>
  <cp:lastModifiedBy>André  Luiz Santos Thomé</cp:lastModifiedBy>
  <cp:lastPrinted>2019-03-15T12:18:33Z</cp:lastPrinted>
  <dcterms:created xsi:type="dcterms:W3CDTF">2007-10-15T16:36:23Z</dcterms:created>
  <dcterms:modified xsi:type="dcterms:W3CDTF">2019-03-27T19:13:28Z</dcterms:modified>
</cp:coreProperties>
</file>